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 codeName="{8C4F1C90-05EB-6A55-5F09-09C24B55AC0B}"/>
  <workbookPr codeName="Questa_cartella_di_lavoro" defaultThemeVersion="124226"/>
  <bookViews>
    <workbookView xWindow="240" yWindow="90" windowWidth="20115" windowHeight="7425" activeTab="0"/>
  </bookViews>
  <sheets>
    <sheet name="Verifica Idraulica" sheetId="1" r:id="rId1"/>
    <sheet name="TRATTO1" sheetId="2" state="hidden" r:id="rId2"/>
    <sheet name="Foglio1" sheetId="3" r:id="rId3"/>
  </sheets>
  <definedNames>
    <definedName name="omogenea">'TRATTO1'!$F$3:$F$9</definedName>
    <definedName name="periodo">'TRATTO1'!$B$4:$B$14</definedName>
    <definedName name="sezione">'TRATTO1'!$F$11:$F$14</definedName>
  </definedNames>
  <calcPr calcId="144525"/>
</workbook>
</file>

<file path=xl/sharedStrings.xml><?xml version="1.0" encoding="utf-8"?>
<sst xmlns="http://schemas.openxmlformats.org/spreadsheetml/2006/main" count="213" uniqueCount="97">
  <si>
    <t>T</t>
  </si>
  <si>
    <t>[anni]</t>
  </si>
  <si>
    <t>Definizioni</t>
  </si>
  <si>
    <t>Output</t>
  </si>
  <si>
    <t>Input</t>
  </si>
  <si>
    <t xml:space="preserve">ing. </t>
  </si>
  <si>
    <t>Gianfranco Marra</t>
  </si>
  <si>
    <t>www.arching-lab.it</t>
  </si>
  <si>
    <t>arch.</t>
  </si>
  <si>
    <t>Marianna Nivelli</t>
  </si>
  <si>
    <t>[piogge]</t>
  </si>
  <si>
    <r>
      <t>K</t>
    </r>
    <r>
      <rPr>
        <b/>
        <vertAlign val="subscript"/>
        <sz val="11"/>
        <color theme="1"/>
        <rFont val="Times New Roman"/>
        <family val="1"/>
      </rPr>
      <t xml:space="preserve">T </t>
    </r>
  </si>
  <si>
    <r>
      <t>[km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]</t>
    </r>
  </si>
  <si>
    <t>A3 perm+bosc</t>
  </si>
  <si>
    <r>
      <t>A</t>
    </r>
    <r>
      <rPr>
        <b/>
        <vertAlign val="subscript"/>
        <sz val="11"/>
        <color theme="1"/>
        <rFont val="Times New Roman"/>
        <family val="1"/>
      </rPr>
      <t>tot.</t>
    </r>
  </si>
  <si>
    <r>
      <t>c</t>
    </r>
    <r>
      <rPr>
        <vertAlign val="subscript"/>
        <sz val="11"/>
        <color theme="1"/>
        <rFont val="Times New Roman"/>
        <family val="1"/>
      </rPr>
      <t>1</t>
    </r>
  </si>
  <si>
    <t>[m/s]</t>
  </si>
  <si>
    <r>
      <t>c</t>
    </r>
    <r>
      <rPr>
        <vertAlign val="subscript"/>
        <sz val="11"/>
        <color theme="1"/>
        <rFont val="Times New Roman"/>
        <family val="1"/>
      </rPr>
      <t>2</t>
    </r>
  </si>
  <si>
    <r>
      <t>t</t>
    </r>
    <r>
      <rPr>
        <b/>
        <i/>
        <vertAlign val="subscript"/>
        <sz val="11"/>
        <color theme="1"/>
        <rFont val="Times New Roman"/>
        <family val="1"/>
      </rPr>
      <t>r</t>
    </r>
  </si>
  <si>
    <t>[ore]</t>
  </si>
  <si>
    <t>Area</t>
  </si>
  <si>
    <t>omogenea</t>
  </si>
  <si>
    <t>Area omog</t>
  </si>
  <si>
    <r>
      <t>m(I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 [mm/ora]</t>
    </r>
  </si>
  <si>
    <t>dc [ore]</t>
  </si>
  <si>
    <t>C</t>
  </si>
  <si>
    <t>D*10^5</t>
  </si>
  <si>
    <r>
      <t>m(I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) </t>
    </r>
  </si>
  <si>
    <t>[mm/ora]</t>
  </si>
  <si>
    <r>
      <t>d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</t>
    </r>
  </si>
  <si>
    <t>Z</t>
  </si>
  <si>
    <t>[m]</t>
  </si>
  <si>
    <t>b</t>
  </si>
  <si>
    <t>n'</t>
  </si>
  <si>
    <t>q</t>
  </si>
  <si>
    <t>n' sup</t>
  </si>
  <si>
    <t>n'inf</t>
  </si>
  <si>
    <t>qinf</t>
  </si>
  <si>
    <t>qsup</t>
  </si>
  <si>
    <t>sup</t>
  </si>
  <si>
    <t>inf</t>
  </si>
  <si>
    <r>
      <t>c</t>
    </r>
    <r>
      <rPr>
        <vertAlign val="subscript"/>
        <sz val="11"/>
        <color theme="1"/>
        <rFont val="Times New Roman"/>
        <family val="1"/>
      </rPr>
      <t>3</t>
    </r>
  </si>
  <si>
    <r>
      <rPr>
        <b/>
        <i/>
        <sz val="11"/>
        <color theme="1"/>
        <rFont val="Times New Roman"/>
        <family val="1"/>
      </rPr>
      <t>K</t>
    </r>
    <r>
      <rPr>
        <b/>
        <vertAlign val="subscript"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(t</t>
    </r>
    <r>
      <rPr>
        <b/>
        <i/>
        <vertAlign val="subscript"/>
        <sz val="11"/>
        <color theme="1"/>
        <rFont val="Times New Roman"/>
        <family val="1"/>
      </rPr>
      <t>r</t>
    </r>
    <r>
      <rPr>
        <b/>
        <sz val="11"/>
        <color theme="1"/>
        <rFont val="Times New Roman"/>
        <family val="1"/>
      </rPr>
      <t>)</t>
    </r>
  </si>
  <si>
    <r>
      <rPr>
        <b/>
        <i/>
        <sz val="11"/>
        <color theme="1"/>
        <rFont val="Times New Roman"/>
        <family val="1"/>
      </rPr>
      <t>m</t>
    </r>
    <r>
      <rPr>
        <b/>
        <sz val="11"/>
        <color theme="1"/>
        <rFont val="Times New Roman"/>
        <family val="1"/>
      </rPr>
      <t>[</t>
    </r>
    <r>
      <rPr>
        <b/>
        <i/>
        <sz val="11"/>
        <color theme="1"/>
        <rFont val="Times New Roman"/>
        <family val="1"/>
      </rPr>
      <t>I</t>
    </r>
    <r>
      <rPr>
        <b/>
        <i/>
        <vertAlign val="subscript"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>(t</t>
    </r>
    <r>
      <rPr>
        <b/>
        <i/>
        <vertAlign val="subscript"/>
        <sz val="11"/>
        <color theme="1"/>
        <rFont val="Times New Roman"/>
        <family val="1"/>
      </rPr>
      <t>r</t>
    </r>
    <r>
      <rPr>
        <b/>
        <sz val="11"/>
        <color theme="1"/>
        <rFont val="Times New Roman"/>
        <family val="1"/>
      </rPr>
      <t>)]</t>
    </r>
  </si>
  <si>
    <r>
      <t>[m</t>
    </r>
    <r>
      <rPr>
        <b/>
        <vertAlign val="super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/s]</t>
    </r>
  </si>
  <si>
    <r>
      <rPr>
        <b/>
        <i/>
        <sz val="11"/>
        <color theme="1"/>
        <rFont val="Times New Roman"/>
        <family val="1"/>
      </rPr>
      <t>m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Q</t>
    </r>
    <r>
      <rPr>
        <b/>
        <sz val="11"/>
        <color theme="1"/>
        <rFont val="Times New Roman"/>
        <family val="1"/>
      </rPr>
      <t>)</t>
    </r>
  </si>
  <si>
    <t>Calcolo della portata di piena</t>
  </si>
  <si>
    <t>REGIONE CAMPANIA</t>
  </si>
  <si>
    <t>Rettangolare</t>
  </si>
  <si>
    <t>i</t>
  </si>
  <si>
    <t>B</t>
  </si>
  <si>
    <t>[-]</t>
  </si>
  <si>
    <r>
      <t>[m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/s]</t>
    </r>
  </si>
  <si>
    <r>
      <t>K</t>
    </r>
    <r>
      <rPr>
        <vertAlign val="subscript"/>
        <sz val="11"/>
        <color theme="1"/>
        <rFont val="Times New Roman"/>
        <family val="1"/>
      </rPr>
      <t>s</t>
    </r>
  </si>
  <si>
    <r>
      <t>h</t>
    </r>
    <r>
      <rPr>
        <vertAlign val="subscript"/>
        <sz val="11"/>
        <color theme="1"/>
        <rFont val="Times New Roman"/>
        <family val="1"/>
      </rPr>
      <t>u</t>
    </r>
  </si>
  <si>
    <r>
      <t>h</t>
    </r>
    <r>
      <rPr>
        <vertAlign val="subscript"/>
        <sz val="11"/>
        <color theme="1"/>
        <rFont val="Times New Roman"/>
        <family val="1"/>
      </rPr>
      <t>k</t>
    </r>
  </si>
  <si>
    <r>
      <t>Q</t>
    </r>
    <r>
      <rPr>
        <vertAlign val="subscript"/>
        <sz val="11"/>
        <color theme="1"/>
        <rFont val="Times New Roman"/>
        <family val="1"/>
      </rPr>
      <t>u</t>
    </r>
  </si>
  <si>
    <r>
      <t>Q</t>
    </r>
    <r>
      <rPr>
        <vertAlign val="subscript"/>
        <sz val="11"/>
        <color theme="1"/>
        <rFont val="Times New Roman"/>
        <family val="1"/>
      </rPr>
      <t>k</t>
    </r>
  </si>
  <si>
    <r>
      <t xml:space="preserve"> [m</t>
    </r>
    <r>
      <rPr>
        <vertAlign val="superscript"/>
        <sz val="11"/>
        <color theme="1"/>
        <rFont val="Times New Roman"/>
        <family val="1"/>
      </rPr>
      <t>1/3</t>
    </r>
    <r>
      <rPr>
        <sz val="11"/>
        <color theme="1"/>
        <rFont val="Times New Roman"/>
        <family val="1"/>
      </rPr>
      <t>/s]</t>
    </r>
  </si>
  <si>
    <t>Triangolare</t>
  </si>
  <si>
    <t>[°]</t>
  </si>
  <si>
    <r>
      <t>h</t>
    </r>
    <r>
      <rPr>
        <b/>
        <vertAlign val="subscript"/>
        <sz val="11"/>
        <color theme="1"/>
        <rFont val="Times New Roman"/>
        <family val="1"/>
      </rPr>
      <t>u</t>
    </r>
  </si>
  <si>
    <r>
      <t>h</t>
    </r>
    <r>
      <rPr>
        <b/>
        <vertAlign val="subscript"/>
        <sz val="11"/>
        <color theme="1"/>
        <rFont val="Times New Roman"/>
        <family val="1"/>
      </rPr>
      <t>k</t>
    </r>
  </si>
  <si>
    <r>
      <t>Q</t>
    </r>
    <r>
      <rPr>
        <b/>
        <vertAlign val="subscript"/>
        <sz val="11"/>
        <color theme="1"/>
        <rFont val="Times New Roman"/>
        <family val="1"/>
      </rPr>
      <t>u</t>
    </r>
  </si>
  <si>
    <r>
      <t>Q</t>
    </r>
    <r>
      <rPr>
        <b/>
        <vertAlign val="subscript"/>
        <sz val="11"/>
        <color theme="1"/>
        <rFont val="Times New Roman"/>
        <family val="1"/>
      </rPr>
      <t>k</t>
    </r>
  </si>
  <si>
    <r>
      <t>[m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]</t>
    </r>
  </si>
  <si>
    <r>
      <t>A</t>
    </r>
    <r>
      <rPr>
        <b/>
        <vertAlign val="subscript"/>
        <sz val="11"/>
        <color theme="1"/>
        <rFont val="Times New Roman"/>
        <family val="1"/>
      </rPr>
      <t>u</t>
    </r>
  </si>
  <si>
    <r>
      <t>A</t>
    </r>
    <r>
      <rPr>
        <b/>
        <vertAlign val="subscript"/>
        <sz val="11"/>
        <color theme="1"/>
        <rFont val="Times New Roman"/>
        <family val="1"/>
      </rPr>
      <t>k</t>
    </r>
  </si>
  <si>
    <r>
      <t>B</t>
    </r>
    <r>
      <rPr>
        <b/>
        <vertAlign val="subscript"/>
        <sz val="11"/>
        <color theme="1"/>
        <rFont val="Times New Roman"/>
        <family val="1"/>
      </rPr>
      <t>u</t>
    </r>
  </si>
  <si>
    <r>
      <t>B</t>
    </r>
    <r>
      <rPr>
        <b/>
        <vertAlign val="subscript"/>
        <sz val="11"/>
        <color theme="1"/>
        <rFont val="Times New Roman"/>
        <family val="1"/>
      </rPr>
      <t>k</t>
    </r>
  </si>
  <si>
    <r>
      <t>R</t>
    </r>
    <r>
      <rPr>
        <b/>
        <vertAlign val="subscript"/>
        <sz val="11"/>
        <color theme="1"/>
        <rFont val="Times New Roman"/>
        <family val="1"/>
      </rPr>
      <t>u</t>
    </r>
  </si>
  <si>
    <r>
      <t>R</t>
    </r>
    <r>
      <rPr>
        <b/>
        <vertAlign val="subscript"/>
        <sz val="11"/>
        <color theme="1"/>
        <rFont val="Times New Roman"/>
        <family val="1"/>
      </rPr>
      <t>k</t>
    </r>
  </si>
  <si>
    <r>
      <t>h</t>
    </r>
    <r>
      <rPr>
        <b/>
        <vertAlign val="subscript"/>
        <sz val="11"/>
        <color theme="1"/>
        <rFont val="Times New Roman"/>
        <family val="1"/>
      </rPr>
      <t>verif.</t>
    </r>
  </si>
  <si>
    <t>Trapezoidale</t>
  </si>
  <si>
    <t>Circolare</t>
  </si>
  <si>
    <t>D</t>
  </si>
  <si>
    <r>
      <t>b</t>
    </r>
    <r>
      <rPr>
        <b/>
        <vertAlign val="subscript"/>
        <sz val="11"/>
        <color theme="1"/>
        <rFont val="Times New Roman"/>
        <family val="1"/>
      </rPr>
      <t>u</t>
    </r>
  </si>
  <si>
    <r>
      <t>b</t>
    </r>
    <r>
      <rPr>
        <b/>
        <vertAlign val="subscript"/>
        <sz val="11"/>
        <color theme="1"/>
        <rFont val="Times New Roman"/>
        <family val="1"/>
      </rPr>
      <t>k</t>
    </r>
  </si>
  <si>
    <t>[rad]</t>
  </si>
  <si>
    <t>H</t>
  </si>
  <si>
    <r>
      <t>H</t>
    </r>
    <r>
      <rPr>
        <b/>
        <vertAlign val="subscript"/>
        <sz val="11"/>
        <color theme="1"/>
        <rFont val="Times New Roman"/>
        <family val="1"/>
      </rPr>
      <t>canale</t>
    </r>
  </si>
  <si>
    <t>Pendenza</t>
  </si>
  <si>
    <t>alfa</t>
  </si>
  <si>
    <r>
      <t>alfa</t>
    </r>
    <r>
      <rPr>
        <b/>
        <vertAlign val="subscript"/>
        <sz val="11"/>
        <color theme="1"/>
        <rFont val="Symbol"/>
        <family val="1"/>
      </rPr>
      <t>1</t>
    </r>
  </si>
  <si>
    <r>
      <t>alfa</t>
    </r>
    <r>
      <rPr>
        <b/>
        <vertAlign val="subscript"/>
        <sz val="11"/>
        <color theme="1"/>
        <rFont val="Symbol"/>
        <family val="1"/>
      </rPr>
      <t>2</t>
    </r>
  </si>
  <si>
    <t xml:space="preserve">Sezione </t>
  </si>
  <si>
    <t>Verifica del canale di scolo</t>
  </si>
  <si>
    <t>Risultati del calcolo</t>
  </si>
  <si>
    <r>
      <t>Q</t>
    </r>
    <r>
      <rPr>
        <b/>
        <vertAlign val="subscript"/>
        <sz val="11"/>
        <color theme="1"/>
        <rFont val="Times New Roman"/>
        <family val="1"/>
      </rPr>
      <t>esercizio</t>
    </r>
  </si>
  <si>
    <t>Verifica canale</t>
  </si>
  <si>
    <r>
      <t>L</t>
    </r>
    <r>
      <rPr>
        <b/>
        <vertAlign val="subscript"/>
        <sz val="11"/>
        <color theme="1"/>
        <rFont val="Times New Roman"/>
        <family val="1"/>
      </rPr>
      <t>supk</t>
    </r>
  </si>
  <si>
    <t>A1 perm.</t>
  </si>
  <si>
    <t>A2 imp.</t>
  </si>
  <si>
    <r>
      <t>C</t>
    </r>
    <r>
      <rPr>
        <b/>
        <vertAlign val="superscript"/>
        <sz val="11"/>
        <color theme="1"/>
        <rFont val="Times New Roman"/>
        <family val="1"/>
      </rPr>
      <t>*</t>
    </r>
    <r>
      <rPr>
        <b/>
        <vertAlign val="subscript"/>
        <sz val="11"/>
        <color theme="1"/>
        <rFont val="Times New Roman"/>
        <family val="1"/>
      </rPr>
      <t>1</t>
    </r>
  </si>
  <si>
    <r>
      <t>C</t>
    </r>
    <r>
      <rPr>
        <b/>
        <vertAlign val="superscript"/>
        <sz val="11"/>
        <color theme="1"/>
        <rFont val="Times New Roman"/>
        <family val="1"/>
      </rPr>
      <t>*</t>
    </r>
    <r>
      <rPr>
        <b/>
        <vertAlign val="subscript"/>
        <sz val="11"/>
        <color theme="1"/>
        <rFont val="Times New Roman"/>
        <family val="1"/>
      </rPr>
      <t>2</t>
    </r>
  </si>
  <si>
    <r>
      <t>C</t>
    </r>
    <r>
      <rPr>
        <b/>
        <vertAlign val="superscript"/>
        <sz val="11"/>
        <color theme="1"/>
        <rFont val="Times New Roman"/>
        <family val="1"/>
      </rPr>
      <t>*</t>
    </r>
    <r>
      <rPr>
        <b/>
        <vertAlign val="subscript"/>
        <sz val="11"/>
        <color theme="1"/>
        <rFont val="Times New Roman"/>
        <family val="1"/>
      </rPr>
      <t>3</t>
    </r>
  </si>
  <si>
    <r>
      <t>C</t>
    </r>
    <r>
      <rPr>
        <b/>
        <vertAlign val="superscript"/>
        <sz val="11"/>
        <color theme="1"/>
        <rFont val="Times New Roman"/>
        <family val="1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</si>
</sst>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u val="single"/>
      <sz val="10"/>
      <color theme="10"/>
      <name val="Geneva"/>
      <family val="2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vertAlign val="subscript"/>
      <sz val="11"/>
      <color theme="1"/>
      <name val="Symbol"/>
      <family val="1"/>
    </font>
    <font>
      <sz val="12"/>
      <color theme="1"/>
      <name val="Times New Roman"/>
      <family val="1"/>
    </font>
    <font>
      <sz val="11"/>
      <color theme="0"/>
      <name val="Calibri"/>
      <family val="2"/>
    </font>
    <font>
      <b/>
      <sz val="20"/>
      <color rgb="FFFF0000"/>
      <name val="Times New Roman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Fill="1" applyBorder="1"/>
    <xf numFmtId="0" fontId="0" fillId="2" borderId="1" xfId="0" applyFont="1" applyFill="1" applyBorder="1"/>
    <xf numFmtId="0" fontId="4" fillId="0" borderId="0" xfId="0" applyFont="1" applyFill="1" applyBorder="1"/>
    <xf numFmtId="0" fontId="0" fillId="3" borderId="1" xfId="0" applyFont="1" applyFill="1" applyBorder="1"/>
    <xf numFmtId="0" fontId="0" fillId="0" borderId="1" xfId="0" applyFont="1" applyFill="1" applyBorder="1"/>
    <xf numFmtId="0" fontId="4" fillId="0" borderId="0" xfId="0" applyFont="1" applyFill="1" applyBorder="1" applyAlignment="1">
      <alignment horizontal="right"/>
    </xf>
    <xf numFmtId="0" fontId="3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2" borderId="5" xfId="0" applyFont="1" applyFill="1" applyBorder="1" applyAlignment="1">
      <alignment horizontal="center"/>
    </xf>
    <xf numFmtId="0" fontId="3" fillId="0" borderId="0" xfId="0" applyFont="1" applyBorder="1"/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/>
    </xf>
    <xf numFmtId="0" fontId="3" fillId="0" borderId="0" xfId="0" applyFont="1" applyFill="1" applyBorder="1"/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/>
    <xf numFmtId="164" fontId="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6" fontId="3" fillId="0" borderId="0" xfId="0" applyNumberFormat="1" applyFont="1" applyFill="1" applyBorder="1"/>
    <xf numFmtId="0" fontId="8" fillId="3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0" xfId="20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31</xdr:row>
      <xdr:rowOff>85725</xdr:rowOff>
    </xdr:from>
    <xdr:to>
      <xdr:col>13</xdr:col>
      <xdr:colOff>47625</xdr:colOff>
      <xdr:row>64</xdr:row>
      <xdr:rowOff>114300</xdr:rowOff>
    </xdr:to>
    <xdr:pic>
      <xdr:nvPicPr>
        <xdr:cNvPr id="9" name="Immagin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308"/>
        <a:stretch>
          <a:fillRect/>
        </a:stretch>
      </xdr:blipFill>
      <xdr:spPr>
        <a:xfrm>
          <a:off x="6619875" y="6324600"/>
          <a:ext cx="4486275" cy="6276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628650</xdr:colOff>
      <xdr:row>2</xdr:row>
      <xdr:rowOff>133350</xdr:rowOff>
    </xdr:from>
    <xdr:to>
      <xdr:col>3</xdr:col>
      <xdr:colOff>857250</xdr:colOff>
      <xdr:row>8</xdr:row>
      <xdr:rowOff>28575</xdr:rowOff>
    </xdr:to>
    <xdr:pic>
      <xdr:nvPicPr>
        <xdr:cNvPr id="7" name="Immagine 3" descr="logo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0" y="514350"/>
          <a:ext cx="19907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31</xdr:row>
      <xdr:rowOff>66675</xdr:rowOff>
    </xdr:from>
    <xdr:to>
      <xdr:col>13</xdr:col>
      <xdr:colOff>76200</xdr:colOff>
      <xdr:row>64</xdr:row>
      <xdr:rowOff>180975</xdr:rowOff>
    </xdr:to>
    <xdr:sp macro="" textlink="">
      <xdr:nvSpPr>
        <xdr:cNvPr id="2" name="Rettangolo 1"/>
        <xdr:cNvSpPr/>
      </xdr:nvSpPr>
      <xdr:spPr>
        <a:xfrm>
          <a:off x="10210800" y="6305550"/>
          <a:ext cx="923925" cy="6362700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647700</xdr:colOff>
      <xdr:row>19</xdr:row>
      <xdr:rowOff>161925</xdr:rowOff>
    </xdr:to>
    <xdr:sp macro="[0]!portate" textlink="">
      <xdr:nvSpPr>
        <xdr:cNvPr id="3" name="Rettangolo 2"/>
        <xdr:cNvSpPr/>
      </xdr:nvSpPr>
      <xdr:spPr>
        <a:xfrm>
          <a:off x="6619875" y="3400425"/>
          <a:ext cx="2152650" cy="581025"/>
        </a:xfrm>
        <a:prstGeom prst="rect">
          <a:avLst/>
        </a:prstGeom>
        <a:solidFill>
          <a:srgbClr val="00000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it-IT" sz="20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Verifica</a:t>
          </a:r>
        </a:p>
      </xdr:txBody>
    </xdr:sp>
    <xdr:clientData/>
  </xdr:twoCellAnchor>
  <xdr:twoCellAnchor editAs="oneCell">
    <xdr:from>
      <xdr:col>7</xdr:col>
      <xdr:colOff>28575</xdr:colOff>
      <xdr:row>20</xdr:row>
      <xdr:rowOff>57150</xdr:rowOff>
    </xdr:from>
    <xdr:to>
      <xdr:col>13</xdr:col>
      <xdr:colOff>180975</xdr:colOff>
      <xdr:row>31</xdr:row>
      <xdr:rowOff>0</xdr:rowOff>
    </xdr:to>
    <xdr:pic>
      <xdr:nvPicPr>
        <xdr:cNvPr id="5" name="Immagine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4067175"/>
          <a:ext cx="4629150" cy="2171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hing-lab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O70"/>
  <sheetViews>
    <sheetView tabSelected="1" workbookViewId="0" topLeftCell="A1">
      <selection activeCell="B1" sqref="B1:N2"/>
    </sheetView>
  </sheetViews>
  <sheetFormatPr defaultColWidth="9.140625" defaultRowHeight="15"/>
  <cols>
    <col min="1" max="1" width="9.140625" style="2" customWidth="1"/>
    <col min="2" max="2" width="9.8515625" style="2" customWidth="1"/>
    <col min="3" max="3" width="16.57421875" style="2" bestFit="1" customWidth="1"/>
    <col min="4" max="4" width="23.8515625" style="2" bestFit="1" customWidth="1"/>
    <col min="5" max="5" width="14.8515625" style="2" bestFit="1" customWidth="1"/>
    <col min="6" max="6" width="15.28125" style="2" bestFit="1" customWidth="1"/>
    <col min="7" max="7" width="9.140625" style="2" customWidth="1"/>
    <col min="8" max="9" width="11.57421875" style="2" bestFit="1" customWidth="1"/>
    <col min="10" max="10" width="10.140625" style="2" customWidth="1"/>
    <col min="11" max="12" width="9.140625" style="2" customWidth="1"/>
    <col min="13" max="13" width="15.57421875" style="2" bestFit="1" customWidth="1"/>
    <col min="14" max="14" width="9.140625" style="2" customWidth="1"/>
    <col min="15" max="16384" width="9.140625" style="2" customWidth="1"/>
  </cols>
  <sheetData>
    <row r="1" spans="2:14" ht="15" customHeight="1">
      <c r="B1" s="50" t="s">
        <v>47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2:14" ht="15" customHeight="1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ht="15"/>
    <row r="4" spans="5:6" ht="15">
      <c r="E4" s="6"/>
      <c r="F4" s="7" t="s">
        <v>2</v>
      </c>
    </row>
    <row r="5" spans="5:6" ht="15">
      <c r="E5" s="8"/>
      <c r="F5" s="7" t="s">
        <v>3</v>
      </c>
    </row>
    <row r="6" spans="5:6" ht="15">
      <c r="E6" s="9"/>
      <c r="F6" s="7" t="s">
        <v>4</v>
      </c>
    </row>
    <row r="7" spans="3:8" ht="15">
      <c r="C7" s="5"/>
      <c r="D7" s="5"/>
      <c r="G7" s="10" t="s">
        <v>5</v>
      </c>
      <c r="H7" s="7" t="s">
        <v>6</v>
      </c>
    </row>
    <row r="8" spans="3:8" ht="15">
      <c r="C8" s="5"/>
      <c r="D8" s="5"/>
      <c r="E8" s="72" t="s">
        <v>7</v>
      </c>
      <c r="F8" s="72"/>
      <c r="G8" s="10" t="s">
        <v>8</v>
      </c>
      <c r="H8" s="7" t="s">
        <v>9</v>
      </c>
    </row>
    <row r="9" ht="15"/>
    <row r="10" spans="3:6" ht="15">
      <c r="C10" s="5"/>
      <c r="D10" s="5"/>
      <c r="E10" s="5"/>
      <c r="F10" s="5"/>
    </row>
    <row r="11" spans="3:14" ht="18.75">
      <c r="C11" s="75" t="s">
        <v>46</v>
      </c>
      <c r="D11" s="75"/>
      <c r="E11" s="75"/>
      <c r="F11" s="75"/>
      <c r="H11" s="58" t="s">
        <v>86</v>
      </c>
      <c r="I11" s="59"/>
      <c r="J11" s="59"/>
      <c r="K11" s="59"/>
      <c r="L11" s="59"/>
      <c r="M11" s="59"/>
      <c r="N11" s="60"/>
    </row>
    <row r="12" spans="3:14" ht="18" customHeight="1">
      <c r="C12" s="12" t="s">
        <v>20</v>
      </c>
      <c r="D12" s="70">
        <v>2</v>
      </c>
      <c r="E12" s="12" t="s">
        <v>27</v>
      </c>
      <c r="F12" s="76">
        <f>+VLOOKUP($D$12,TRATTO1!F3:J9,2,FALSE)</f>
        <v>83.75</v>
      </c>
      <c r="H12" s="56" t="s">
        <v>85</v>
      </c>
      <c r="I12" s="56" t="s">
        <v>80</v>
      </c>
      <c r="J12" s="56" t="s">
        <v>81</v>
      </c>
      <c r="K12" s="56" t="s">
        <v>53</v>
      </c>
      <c r="L12" s="56" t="str">
        <f>+IF(H14="Rettangolare","B",IF(H14="Triangolare",TRATTO1!B96,IF(H14="Circolare",TRATTO1!B106,TRATTO1!B101)))</f>
        <v>alfa1</v>
      </c>
      <c r="M12" s="56" t="str">
        <f>+IF(H14="Trapezoidale","alfa2","  ")</f>
        <v>alfa2</v>
      </c>
      <c r="N12" s="56" t="str">
        <f>+IF(H14="Trapezoidale","b","  ")</f>
        <v>b</v>
      </c>
    </row>
    <row r="13" spans="3:14" ht="15" customHeight="1">
      <c r="C13" s="13" t="s">
        <v>21</v>
      </c>
      <c r="D13" s="70"/>
      <c r="E13" s="13" t="s">
        <v>28</v>
      </c>
      <c r="F13" s="76"/>
      <c r="H13" s="57"/>
      <c r="I13" s="57"/>
      <c r="J13" s="57"/>
      <c r="K13" s="57"/>
      <c r="L13" s="57"/>
      <c r="M13" s="57"/>
      <c r="N13" s="57"/>
    </row>
    <row r="14" spans="3:14" ht="18" customHeight="1">
      <c r="C14" s="30" t="s">
        <v>30</v>
      </c>
      <c r="D14" s="70">
        <v>80</v>
      </c>
      <c r="E14" s="12" t="s">
        <v>29</v>
      </c>
      <c r="F14" s="68">
        <f>+VLOOKUP($D$12,TRATTO1!F3:J9,3,FALSE)</f>
        <v>0.3312</v>
      </c>
      <c r="H14" s="73" t="s">
        <v>73</v>
      </c>
      <c r="I14" s="17" t="str">
        <f>+IF(I12&lt;&gt;0,"[m]","  ")</f>
        <v>[m]</v>
      </c>
      <c r="J14" s="17" t="s">
        <v>51</v>
      </c>
      <c r="K14" s="17" t="s">
        <v>58</v>
      </c>
      <c r="L14" s="17" t="str">
        <f>+IF(H14="Rettangolare","[m]",IF(H14="Triangolare",TRATTO1!B97,IF(H14="Circolare",TRATTO1!B107,TRATTO1!B102)))</f>
        <v>[°]</v>
      </c>
      <c r="M14" s="17" t="str">
        <f>+IF(H14="Trapezoidale","[°]","  ")</f>
        <v>[°]</v>
      </c>
      <c r="N14" s="17" t="str">
        <f>+IF(H14="Trapezoidale","[m]","  ")</f>
        <v>[m]</v>
      </c>
    </row>
    <row r="15" spans="3:14" ht="15" customHeight="1">
      <c r="C15" s="13" t="s">
        <v>31</v>
      </c>
      <c r="D15" s="70"/>
      <c r="E15" s="13" t="s">
        <v>19</v>
      </c>
      <c r="F15" s="69"/>
      <c r="H15" s="74"/>
      <c r="I15" s="4">
        <v>0.5</v>
      </c>
      <c r="J15" s="4">
        <v>0.015</v>
      </c>
      <c r="K15" s="4">
        <v>80</v>
      </c>
      <c r="L15" s="4">
        <v>86</v>
      </c>
      <c r="M15" s="4">
        <v>86</v>
      </c>
      <c r="N15" s="4">
        <v>0.5</v>
      </c>
    </row>
    <row r="16" spans="1:10" ht="15" customHeight="1">
      <c r="A16" s="31"/>
      <c r="C16" s="12" t="s">
        <v>91</v>
      </c>
      <c r="D16" s="71">
        <f>+(14159/10^6)-D18</f>
        <v>0.005478</v>
      </c>
      <c r="E16" s="80" t="s">
        <v>25</v>
      </c>
      <c r="F16" s="76">
        <f>+VLOOKUP($D$12,TRATTO1!F3:J9,4,FALSE)</f>
        <v>0.7031</v>
      </c>
      <c r="G16" s="32"/>
      <c r="H16" s="33"/>
      <c r="I16" s="33"/>
      <c r="J16" s="33"/>
    </row>
    <row r="17" spans="1:14" ht="15" customHeight="1">
      <c r="A17" s="31"/>
      <c r="C17" s="13" t="s">
        <v>12</v>
      </c>
      <c r="D17" s="71"/>
      <c r="E17" s="81"/>
      <c r="F17" s="76"/>
      <c r="G17" s="32"/>
      <c r="H17" s="61" t="s">
        <v>87</v>
      </c>
      <c r="I17" s="62"/>
      <c r="J17" s="62"/>
      <c r="K17" s="62"/>
      <c r="L17" s="62"/>
      <c r="M17" s="62"/>
      <c r="N17" s="63"/>
    </row>
    <row r="18" spans="3:14" ht="18">
      <c r="C18" s="12" t="s">
        <v>92</v>
      </c>
      <c r="D18" s="71">
        <f>+(4276+3628+711+66)/10^6</f>
        <v>0.008681</v>
      </c>
      <c r="E18" s="80" t="s">
        <v>26</v>
      </c>
      <c r="F18" s="76">
        <f>+VLOOKUP($D$12,TRATTO1!F3:J9,5,FALSE)</f>
        <v>7.7381</v>
      </c>
      <c r="K18" s="64" t="s">
        <v>88</v>
      </c>
      <c r="L18" s="65"/>
      <c r="M18" s="15">
        <f>+F40</f>
        <v>0.16431032800276182</v>
      </c>
      <c r="N18" s="17" t="s">
        <v>44</v>
      </c>
    </row>
    <row r="19" spans="3:14" ht="18">
      <c r="C19" s="13" t="s">
        <v>12</v>
      </c>
      <c r="D19" s="71"/>
      <c r="E19" s="81"/>
      <c r="F19" s="76"/>
      <c r="K19" s="66" t="s">
        <v>72</v>
      </c>
      <c r="L19" s="67"/>
      <c r="M19" s="15">
        <f>+IF(H14="Rettangolare",TRATTO1!M93,IF('Verifica Idraulica'!H14="Triangolare",TRATTO1!O98,IF('Verifica Idraulica'!H14="Trapezoidale",TRATTO1!Q103,TRATTO1!O108)))</f>
        <v>0.15546253373725266</v>
      </c>
      <c r="N19" s="17" t="s">
        <v>31</v>
      </c>
    </row>
    <row r="20" spans="3:14" ht="15">
      <c r="C20" s="12" t="s">
        <v>13</v>
      </c>
      <c r="D20" s="71">
        <v>0</v>
      </c>
      <c r="E20" s="82" t="s">
        <v>32</v>
      </c>
      <c r="F20" s="85">
        <f>+F16-F18/10^5*D14</f>
        <v>0.69690952</v>
      </c>
      <c r="K20" s="64" t="s">
        <v>89</v>
      </c>
      <c r="L20" s="65"/>
      <c r="M20" s="48" t="str">
        <f>+IF((M19+0.87*'Verifica Idraulica'!M19^0.5)&lt;=I15,"Soddisfatta","Non soddisfatta")</f>
        <v>Soddisfatta</v>
      </c>
      <c r="N20" s="49"/>
    </row>
    <row r="21" spans="3:6" ht="18">
      <c r="C21" s="13" t="s">
        <v>12</v>
      </c>
      <c r="D21" s="71"/>
      <c r="E21" s="81"/>
      <c r="F21" s="85"/>
    </row>
    <row r="22" ht="15"/>
    <row r="23" spans="3:15" ht="16.5">
      <c r="C23" s="12" t="s">
        <v>0</v>
      </c>
      <c r="D23" s="70">
        <v>20</v>
      </c>
      <c r="E23" s="12" t="s">
        <v>11</v>
      </c>
      <c r="F23" s="76">
        <f>+VLOOKUP(D23,TRATTO1!B4:C14,2,FALSE)</f>
        <v>1.65</v>
      </c>
      <c r="O23" s="44"/>
    </row>
    <row r="24" spans="3:6" ht="15">
      <c r="C24" s="13" t="s">
        <v>1</v>
      </c>
      <c r="D24" s="70"/>
      <c r="E24" s="13" t="s">
        <v>10</v>
      </c>
      <c r="F24" s="76"/>
    </row>
    <row r="25" ht="15"/>
    <row r="26" spans="3:6" ht="16.5">
      <c r="C26" s="56" t="s">
        <v>93</v>
      </c>
      <c r="D26" s="86">
        <v>0.29</v>
      </c>
      <c r="E26" s="12" t="s">
        <v>14</v>
      </c>
      <c r="F26" s="85">
        <f>+SUM(D16:D21)</f>
        <v>0.014159</v>
      </c>
    </row>
    <row r="27" spans="3:6" ht="18">
      <c r="C27" s="57"/>
      <c r="D27" s="86"/>
      <c r="E27" s="13" t="s">
        <v>12</v>
      </c>
      <c r="F27" s="85"/>
    </row>
    <row r="28" spans="3:6" ht="15" customHeight="1">
      <c r="C28" s="56" t="s">
        <v>94</v>
      </c>
      <c r="D28" s="86">
        <v>0.36</v>
      </c>
      <c r="E28" s="56" t="s">
        <v>96</v>
      </c>
      <c r="F28" s="87">
        <f>D26*D16/F26+D28*D18/F26+D30*D20/F26</f>
        <v>0.3329175789250653</v>
      </c>
    </row>
    <row r="29" spans="3:6" ht="15">
      <c r="C29" s="57"/>
      <c r="D29" s="86"/>
      <c r="E29" s="57"/>
      <c r="F29" s="87"/>
    </row>
    <row r="30" spans="3:6" ht="16.5" customHeight="1">
      <c r="C30" s="56" t="s">
        <v>95</v>
      </c>
      <c r="D30" s="86">
        <v>0</v>
      </c>
      <c r="E30" s="12" t="s">
        <v>18</v>
      </c>
      <c r="F30" s="85">
        <f>+D26*D16*1.25/(F28*F26*3.6*D33)*D16^0.5+D28*D18*1.25/(F28*F26*3.6*D35)*D18^0.5</f>
        <v>0.049126370311201345</v>
      </c>
    </row>
    <row r="31" spans="3:6" ht="15">
      <c r="C31" s="57"/>
      <c r="D31" s="86"/>
      <c r="E31" s="13" t="s">
        <v>19</v>
      </c>
      <c r="F31" s="85"/>
    </row>
    <row r="32" ht="15"/>
    <row r="33" spans="3:6" ht="16.5">
      <c r="C33" s="12" t="s">
        <v>15</v>
      </c>
      <c r="D33" s="70">
        <v>0.23</v>
      </c>
      <c r="E33" s="12" t="s">
        <v>42</v>
      </c>
      <c r="F33" s="87">
        <f>1-((1-EXP(-D38*F26))*EXP(-D40*F30^D42))</f>
        <v>0.9999768324309528</v>
      </c>
    </row>
    <row r="34" spans="3:6" ht="15">
      <c r="C34" s="13" t="s">
        <v>16</v>
      </c>
      <c r="D34" s="70"/>
      <c r="E34" s="11"/>
      <c r="F34" s="87"/>
    </row>
    <row r="35" spans="3:6" ht="16.5">
      <c r="C35" s="12" t="s">
        <v>17</v>
      </c>
      <c r="D35" s="70">
        <v>1.87</v>
      </c>
      <c r="E35" s="12" t="s">
        <v>43</v>
      </c>
      <c r="F35" s="85">
        <f>+F12/(1+F30/F14)^F20</f>
        <v>76.05436968909694</v>
      </c>
    </row>
    <row r="36" spans="3:6" ht="16.5" customHeight="1">
      <c r="C36" s="13" t="s">
        <v>16</v>
      </c>
      <c r="D36" s="70"/>
      <c r="E36" s="13" t="s">
        <v>28</v>
      </c>
      <c r="F36" s="85"/>
    </row>
    <row r="37" ht="15"/>
    <row r="38" spans="3:6" ht="15">
      <c r="C38" s="56" t="s">
        <v>15</v>
      </c>
      <c r="D38" s="70">
        <v>0.0021</v>
      </c>
      <c r="E38" s="12" t="s">
        <v>45</v>
      </c>
      <c r="F38" s="83">
        <f>+F28*F33*F35*F26/3.6</f>
        <v>0.09958201697137081</v>
      </c>
    </row>
    <row r="39" spans="3:6" ht="18">
      <c r="C39" s="57"/>
      <c r="D39" s="70"/>
      <c r="E39" s="13" t="s">
        <v>44</v>
      </c>
      <c r="F39" s="84"/>
    </row>
    <row r="40" spans="3:6" ht="15">
      <c r="C40" s="56" t="s">
        <v>17</v>
      </c>
      <c r="D40" s="70">
        <v>0.53</v>
      </c>
      <c r="E40" s="88" t="str">
        <f>+CONCATENATE("Q",D23)</f>
        <v>Q20</v>
      </c>
      <c r="F40" s="77">
        <f>+F38*F23</f>
        <v>0.16431032800276182</v>
      </c>
    </row>
    <row r="41" spans="3:6" ht="17.25" customHeight="1">
      <c r="C41" s="57"/>
      <c r="D41" s="70"/>
      <c r="E41" s="89"/>
      <c r="F41" s="78"/>
    </row>
    <row r="42" spans="3:6" ht="17.25" customHeight="1">
      <c r="C42" s="56" t="s">
        <v>41</v>
      </c>
      <c r="D42" s="70">
        <v>0.25</v>
      </c>
      <c r="E42" s="56" t="s">
        <v>44</v>
      </c>
      <c r="F42" s="78"/>
    </row>
    <row r="43" spans="3:6" ht="15">
      <c r="C43" s="57"/>
      <c r="D43" s="70"/>
      <c r="E43" s="57"/>
      <c r="F43" s="79"/>
    </row>
    <row r="44" ht="15"/>
    <row r="45" ht="15"/>
    <row r="46" spans="3:6" ht="15">
      <c r="C46" s="38"/>
      <c r="D46" s="38"/>
      <c r="E46" s="38"/>
      <c r="F46" s="38"/>
    </row>
    <row r="47" spans="3:6" ht="15">
      <c r="C47" s="42"/>
      <c r="D47" s="38"/>
      <c r="E47" s="38"/>
      <c r="F47" s="45"/>
    </row>
    <row r="48" spans="3:6" ht="15">
      <c r="C48" s="38"/>
      <c r="D48" s="38"/>
      <c r="E48" s="38"/>
      <c r="F48" s="38"/>
    </row>
    <row r="49" spans="3:6" ht="15" customHeight="1" hidden="1">
      <c r="C49" s="38"/>
      <c r="D49" s="38"/>
      <c r="E49" s="38"/>
      <c r="F49" s="38"/>
    </row>
    <row r="50" spans="3:6" ht="15">
      <c r="C50" s="38"/>
      <c r="D50" s="38"/>
      <c r="E50" s="46"/>
      <c r="F50" s="38"/>
    </row>
    <row r="51" spans="3:6" ht="15">
      <c r="C51" s="38"/>
      <c r="D51" s="38"/>
      <c r="E51" s="39"/>
      <c r="F51" s="38"/>
    </row>
    <row r="52" spans="3:6" ht="15">
      <c r="C52" s="38"/>
      <c r="D52" s="47"/>
      <c r="E52" s="38"/>
      <c r="F52" s="38"/>
    </row>
    <row r="53" ht="15"/>
    <row r="54" ht="15"/>
    <row r="55" ht="15"/>
    <row r="56" ht="15"/>
    <row r="57" ht="15"/>
    <row r="58" ht="15"/>
    <row r="59" ht="15"/>
    <row r="60" ht="15">
      <c r="D60" s="36"/>
    </row>
    <row r="61" ht="15"/>
    <row r="62" spans="2:9" ht="15">
      <c r="B62" s="36"/>
      <c r="C62" s="36"/>
      <c r="E62" s="36"/>
      <c r="F62" s="36"/>
      <c r="G62" s="36"/>
      <c r="H62" s="36"/>
      <c r="I62" s="36"/>
    </row>
    <row r="63" spans="2:13" ht="15">
      <c r="B63" s="37"/>
      <c r="C63" s="37"/>
      <c r="D63" s="37"/>
      <c r="E63" s="37"/>
      <c r="F63" s="37"/>
      <c r="G63" s="37"/>
      <c r="H63" s="37"/>
      <c r="I63" s="38"/>
      <c r="J63" s="31"/>
      <c r="K63" s="31"/>
      <c r="L63" s="31"/>
      <c r="M63" s="31"/>
    </row>
    <row r="64" spans="2:13" ht="15">
      <c r="B64" s="39"/>
      <c r="C64" s="39"/>
      <c r="D64" s="39"/>
      <c r="E64" s="39"/>
      <c r="F64" s="39"/>
      <c r="G64" s="39"/>
      <c r="H64" s="39"/>
      <c r="I64" s="39"/>
      <c r="J64" s="34"/>
      <c r="K64" s="31"/>
      <c r="L64" s="31"/>
      <c r="M64" s="31"/>
    </row>
    <row r="65" spans="2:13" ht="1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ht="15">
      <c r="B67" s="31"/>
      <c r="C67" s="31"/>
      <c r="D67" s="31"/>
      <c r="E67" s="35"/>
      <c r="F67" s="35"/>
      <c r="G67" s="35"/>
      <c r="H67" s="31"/>
      <c r="I67" s="31"/>
      <c r="J67" s="31"/>
      <c r="K67" s="31"/>
      <c r="L67" s="31"/>
      <c r="M67" s="31"/>
    </row>
    <row r="68" spans="2:13" ht="1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 ht="1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2:13" ht="1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</sheetData>
  <mergeCells count="56">
    <mergeCell ref="C40:C41"/>
    <mergeCell ref="C42:C43"/>
    <mergeCell ref="D28:D29"/>
    <mergeCell ref="D20:D21"/>
    <mergeCell ref="D26:D27"/>
    <mergeCell ref="D40:D41"/>
    <mergeCell ref="D42:D43"/>
    <mergeCell ref="D33:D34"/>
    <mergeCell ref="D35:D36"/>
    <mergeCell ref="E42:E43"/>
    <mergeCell ref="E40:E41"/>
    <mergeCell ref="F30:F31"/>
    <mergeCell ref="F35:F36"/>
    <mergeCell ref="F33:F34"/>
    <mergeCell ref="E28:E29"/>
    <mergeCell ref="C26:C27"/>
    <mergeCell ref="C28:C29"/>
    <mergeCell ref="F40:F43"/>
    <mergeCell ref="E16:E17"/>
    <mergeCell ref="E18:E19"/>
    <mergeCell ref="E20:E21"/>
    <mergeCell ref="C38:C39"/>
    <mergeCell ref="F38:F39"/>
    <mergeCell ref="F18:F19"/>
    <mergeCell ref="F20:F21"/>
    <mergeCell ref="D23:D24"/>
    <mergeCell ref="F23:F24"/>
    <mergeCell ref="D30:D31"/>
    <mergeCell ref="D38:D39"/>
    <mergeCell ref="C30:C31"/>
    <mergeCell ref="D18:D19"/>
    <mergeCell ref="F26:F27"/>
    <mergeCell ref="F28:F29"/>
    <mergeCell ref="E8:F8"/>
    <mergeCell ref="H14:H15"/>
    <mergeCell ref="H12:H13"/>
    <mergeCell ref="C11:F11"/>
    <mergeCell ref="F16:F17"/>
    <mergeCell ref="D12:D13"/>
    <mergeCell ref="F12:F13"/>
    <mergeCell ref="M20:N20"/>
    <mergeCell ref="B1:N2"/>
    <mergeCell ref="M12:M13"/>
    <mergeCell ref="N12:N13"/>
    <mergeCell ref="H11:N11"/>
    <mergeCell ref="H17:N17"/>
    <mergeCell ref="K18:L18"/>
    <mergeCell ref="I12:I13"/>
    <mergeCell ref="J12:J13"/>
    <mergeCell ref="K12:K13"/>
    <mergeCell ref="L12:L13"/>
    <mergeCell ref="K19:L19"/>
    <mergeCell ref="K20:L20"/>
    <mergeCell ref="F14:F15"/>
    <mergeCell ref="D14:D15"/>
    <mergeCell ref="D16:D17"/>
  </mergeCells>
  <dataValidations count="3">
    <dataValidation type="list" allowBlank="1" showInputMessage="1" showErrorMessage="1" sqref="D23">
      <formula1>periodo</formula1>
    </dataValidation>
    <dataValidation type="list" allowBlank="1" showInputMessage="1" showErrorMessage="1" sqref="D12">
      <formula1>omogenea</formula1>
    </dataValidation>
    <dataValidation type="list" allowBlank="1" showInputMessage="1" showErrorMessage="1" sqref="H14">
      <formula1>sezione</formula1>
    </dataValidation>
  </dataValidations>
  <hyperlinks>
    <hyperlink ref="E8" r:id="rId1" display="http://www.arching-lab.it/"/>
  </hyperlinks>
  <printOptions/>
  <pageMargins left="0.7" right="0.7" top="0.75" bottom="0.75" header="0.3" footer="0.3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2:Q121"/>
  <sheetViews>
    <sheetView workbookViewId="0" topLeftCell="A93">
      <selection activeCell="N108" sqref="N108"/>
    </sheetView>
  </sheetViews>
  <sheetFormatPr defaultColWidth="9.140625" defaultRowHeight="15"/>
  <cols>
    <col min="1" max="1" width="9.140625" style="1" customWidth="1"/>
    <col min="2" max="2" width="12.421875" style="1" bestFit="1" customWidth="1"/>
    <col min="3" max="3" width="9.140625" style="1" customWidth="1"/>
    <col min="4" max="4" width="10.7109375" style="1" customWidth="1"/>
    <col min="5" max="5" width="9.140625" style="1" customWidth="1"/>
    <col min="6" max="6" width="12.00390625" style="1" bestFit="1" customWidth="1"/>
    <col min="7" max="7" width="14.57421875" style="1" bestFit="1" customWidth="1"/>
    <col min="8" max="15" width="9.140625" style="1" customWidth="1"/>
    <col min="16" max="16" width="8.421875" style="1" customWidth="1"/>
    <col min="17" max="16384" width="9.140625" style="1" customWidth="1"/>
  </cols>
  <sheetData>
    <row r="2" spans="2:10" ht="18">
      <c r="B2" s="16" t="s">
        <v>0</v>
      </c>
      <c r="C2" s="16"/>
      <c r="F2" s="16" t="s">
        <v>22</v>
      </c>
      <c r="G2" s="16" t="s">
        <v>23</v>
      </c>
      <c r="H2" s="16" t="s">
        <v>24</v>
      </c>
      <c r="I2" s="16" t="s">
        <v>25</v>
      </c>
      <c r="J2" s="16" t="s">
        <v>26</v>
      </c>
    </row>
    <row r="3" spans="2:10" ht="15">
      <c r="B3" s="16" t="s">
        <v>1</v>
      </c>
      <c r="C3" s="16"/>
      <c r="F3" s="16">
        <v>1</v>
      </c>
      <c r="G3" s="16">
        <v>77.08</v>
      </c>
      <c r="H3" s="16">
        <v>0.3661</v>
      </c>
      <c r="I3" s="16">
        <v>0.7995</v>
      </c>
      <c r="J3" s="16">
        <v>8.6077</v>
      </c>
    </row>
    <row r="4" spans="2:10" ht="15">
      <c r="B4" s="16">
        <v>2</v>
      </c>
      <c r="C4" s="18">
        <v>0.93</v>
      </c>
      <c r="F4" s="16">
        <v>2</v>
      </c>
      <c r="G4" s="16">
        <v>83.75</v>
      </c>
      <c r="H4" s="16">
        <v>0.3312</v>
      </c>
      <c r="I4" s="16">
        <v>0.7031</v>
      </c>
      <c r="J4" s="16">
        <v>7.7381</v>
      </c>
    </row>
    <row r="5" spans="2:10" ht="15">
      <c r="B5" s="16">
        <v>5</v>
      </c>
      <c r="C5" s="18">
        <v>1.22</v>
      </c>
      <c r="F5" s="16">
        <v>3</v>
      </c>
      <c r="G5" s="16">
        <v>116.7</v>
      </c>
      <c r="H5" s="16">
        <v>0.0976</v>
      </c>
      <c r="I5" s="16">
        <v>0.736</v>
      </c>
      <c r="J5" s="16">
        <v>8.73</v>
      </c>
    </row>
    <row r="6" spans="2:10" ht="15">
      <c r="B6" s="16">
        <v>10</v>
      </c>
      <c r="C6" s="18">
        <v>1.43</v>
      </c>
      <c r="F6" s="16">
        <v>4</v>
      </c>
      <c r="G6" s="16">
        <v>78.61</v>
      </c>
      <c r="H6" s="16">
        <v>0.3846</v>
      </c>
      <c r="I6" s="16">
        <v>0.81</v>
      </c>
      <c r="J6" s="16">
        <v>24.874</v>
      </c>
    </row>
    <row r="7" spans="2:10" ht="15">
      <c r="B7" s="16">
        <v>20</v>
      </c>
      <c r="C7" s="18">
        <v>1.65</v>
      </c>
      <c r="F7" s="16">
        <v>5</v>
      </c>
      <c r="G7" s="16">
        <v>231.8</v>
      </c>
      <c r="H7" s="16">
        <v>0.0508</v>
      </c>
      <c r="I7" s="16">
        <v>0.8351</v>
      </c>
      <c r="J7" s="16">
        <v>10.8</v>
      </c>
    </row>
    <row r="8" spans="2:10" ht="15">
      <c r="B8" s="16">
        <v>25</v>
      </c>
      <c r="C8" s="18">
        <v>1.73</v>
      </c>
      <c r="F8" s="16">
        <v>6</v>
      </c>
      <c r="G8" s="16">
        <v>87.87</v>
      </c>
      <c r="H8" s="16">
        <v>0.2205</v>
      </c>
      <c r="I8" s="16">
        <v>0.7265</v>
      </c>
      <c r="J8" s="16">
        <v>8.8476</v>
      </c>
    </row>
    <row r="9" spans="2:10" ht="15">
      <c r="B9" s="16">
        <v>40</v>
      </c>
      <c r="C9" s="18">
        <v>1.9</v>
      </c>
      <c r="F9" s="16">
        <v>7</v>
      </c>
      <c r="G9" s="16">
        <v>83.75</v>
      </c>
      <c r="H9" s="16">
        <v>0.3312</v>
      </c>
      <c r="I9" s="16">
        <v>0.7031</v>
      </c>
      <c r="J9" s="16">
        <v>7.7381</v>
      </c>
    </row>
    <row r="10" spans="2:3" ht="15">
      <c r="B10" s="16">
        <v>50</v>
      </c>
      <c r="C10" s="18">
        <v>1.98</v>
      </c>
    </row>
    <row r="11" spans="2:6" ht="15">
      <c r="B11" s="16">
        <v>100</v>
      </c>
      <c r="C11" s="18">
        <v>2.26</v>
      </c>
      <c r="F11" s="1" t="s">
        <v>48</v>
      </c>
    </row>
    <row r="12" spans="2:6" ht="15">
      <c r="B12" s="16">
        <v>200</v>
      </c>
      <c r="C12" s="18">
        <v>2.55</v>
      </c>
      <c r="F12" s="1" t="s">
        <v>59</v>
      </c>
    </row>
    <row r="13" spans="2:6" ht="15">
      <c r="B13" s="16">
        <v>500</v>
      </c>
      <c r="C13" s="18">
        <v>2.95</v>
      </c>
      <c r="F13" s="1" t="s">
        <v>73</v>
      </c>
    </row>
    <row r="14" spans="2:6" ht="15">
      <c r="B14" s="16">
        <v>1000</v>
      </c>
      <c r="C14" s="18">
        <v>3.26</v>
      </c>
      <c r="F14" s="1" t="s">
        <v>74</v>
      </c>
    </row>
    <row r="16" spans="2:10" ht="15">
      <c r="B16" s="16" t="s">
        <v>33</v>
      </c>
      <c r="C16" s="16" t="s">
        <v>34</v>
      </c>
      <c r="D16" s="16" t="s">
        <v>39</v>
      </c>
      <c r="E16" s="16" t="s">
        <v>40</v>
      </c>
      <c r="F16" s="19" t="s">
        <v>36</v>
      </c>
      <c r="G16" s="16" t="s">
        <v>35</v>
      </c>
      <c r="H16" s="16" t="s">
        <v>37</v>
      </c>
      <c r="I16" s="16" t="s">
        <v>38</v>
      </c>
      <c r="J16" s="16" t="s">
        <v>34</v>
      </c>
    </row>
    <row r="17" spans="2:10" ht="15">
      <c r="B17" s="20">
        <v>0.1</v>
      </c>
      <c r="C17" s="21">
        <v>0.6079</v>
      </c>
      <c r="D17" s="16" t="e">
        <f>+IF(#REF!&lt;=TRATTO1!B17,B17,D18)</f>
        <v>#REF!</v>
      </c>
      <c r="E17" s="16" t="e">
        <f>+IF(#REF!&gt;=TRATTO1!B17,B17,E18)</f>
        <v>#REF!</v>
      </c>
      <c r="F17" s="19" t="e">
        <f>+MAX(E17:E87)</f>
        <v>#REF!</v>
      </c>
      <c r="G17" s="16" t="e">
        <f>+MIN(D17:D87)</f>
        <v>#REF!</v>
      </c>
      <c r="H17" s="16" t="e">
        <f>+VLOOKUP(F17,B17:C87,2,FALSE)</f>
        <v>#REF!</v>
      </c>
      <c r="I17" s="16" t="e">
        <f>+VLOOKUP(G17,B17:C87,2,FALSE)</f>
        <v>#REF!</v>
      </c>
      <c r="J17" s="16" t="e">
        <f>+(I17-H17)/(G17-F17)*(#REF!-TRATTO1!F17)+H17</f>
        <v>#REF!</v>
      </c>
    </row>
    <row r="18" spans="2:5" ht="15">
      <c r="B18" s="16">
        <f>+B17+0.01</f>
        <v>0.11</v>
      </c>
      <c r="C18" s="21">
        <v>0.6056</v>
      </c>
      <c r="D18" s="16" t="e">
        <f>+IF(#REF!&lt;=TRATTO1!B18,B18,D19)</f>
        <v>#REF!</v>
      </c>
      <c r="E18" s="16" t="e">
        <f>+IF(#REF!&gt;=TRATTO1!B18,B18,E19)</f>
        <v>#REF!</v>
      </c>
    </row>
    <row r="19" spans="2:8" ht="15">
      <c r="B19" s="16">
        <f aca="true" t="shared" si="0" ref="B19:B82">+B18+0.01</f>
        <v>0.12</v>
      </c>
      <c r="C19" s="21">
        <v>0.6036</v>
      </c>
      <c r="D19" s="16" t="e">
        <f>+IF(#REF!&lt;=TRATTO1!B19,B19,D20)</f>
        <v>#REF!</v>
      </c>
      <c r="E19" s="16" t="e">
        <f>+IF(#REF!&gt;=TRATTO1!B19,B19,E20)</f>
        <v>#REF!</v>
      </c>
      <c r="F19" s="90"/>
      <c r="G19" s="91"/>
      <c r="H19" s="91"/>
    </row>
    <row r="20" spans="2:5" ht="15">
      <c r="B20" s="16">
        <f t="shared" si="0"/>
        <v>0.13</v>
      </c>
      <c r="C20" s="21">
        <v>0.6019</v>
      </c>
      <c r="D20" s="16" t="e">
        <f>+IF(#REF!&lt;=TRATTO1!B20,B20,D21)</f>
        <v>#REF!</v>
      </c>
      <c r="E20" s="16" t="e">
        <f>+IF(#REF!&gt;=TRATTO1!B20,B20,E21)</f>
        <v>#REF!</v>
      </c>
    </row>
    <row r="21" spans="2:5" ht="15">
      <c r="B21" s="16">
        <f t="shared" si="0"/>
        <v>0.14</v>
      </c>
      <c r="C21" s="21">
        <v>0.6005</v>
      </c>
      <c r="D21" s="16" t="e">
        <f>+IF(#REF!&lt;=TRATTO1!B21,B21,D22)</f>
        <v>#REF!</v>
      </c>
      <c r="E21" s="16" t="e">
        <f>+IF(#REF!&gt;=TRATTO1!B21,B21,E22)</f>
        <v>#REF!</v>
      </c>
    </row>
    <row r="22" spans="2:5" ht="15">
      <c r="B22" s="16">
        <f t="shared" si="0"/>
        <v>0.15000000000000002</v>
      </c>
      <c r="C22" s="21">
        <v>0.5992</v>
      </c>
      <c r="D22" s="16" t="e">
        <f>+IF(#REF!&lt;=TRATTO1!B22,B22,D23)</f>
        <v>#REF!</v>
      </c>
      <c r="E22" s="16" t="e">
        <f>+IF(#REF!&gt;=TRATTO1!B22,B22,E23)</f>
        <v>#REF!</v>
      </c>
    </row>
    <row r="23" spans="2:5" ht="15">
      <c r="B23" s="16">
        <f t="shared" si="0"/>
        <v>0.16000000000000003</v>
      </c>
      <c r="C23" s="21">
        <v>0.5982</v>
      </c>
      <c r="D23" s="16" t="e">
        <f>+IF(#REF!&lt;=TRATTO1!B23,B23,D24)</f>
        <v>#REF!</v>
      </c>
      <c r="E23" s="16" t="e">
        <f>+IF(#REF!&gt;=TRATTO1!B23,B23,E24)</f>
        <v>#REF!</v>
      </c>
    </row>
    <row r="24" spans="2:5" ht="15">
      <c r="B24" s="16">
        <f t="shared" si="0"/>
        <v>0.17000000000000004</v>
      </c>
      <c r="C24" s="21">
        <v>0.5974</v>
      </c>
      <c r="D24" s="16" t="e">
        <f>+IF(#REF!&lt;=TRATTO1!B24,B24,D25)</f>
        <v>#REF!</v>
      </c>
      <c r="E24" s="16" t="e">
        <f>+IF(#REF!&gt;=TRATTO1!B24,B24,E25)</f>
        <v>#REF!</v>
      </c>
    </row>
    <row r="25" spans="2:5" ht="15">
      <c r="B25" s="16">
        <f t="shared" si="0"/>
        <v>0.18000000000000005</v>
      </c>
      <c r="C25" s="21">
        <v>0.5967</v>
      </c>
      <c r="D25" s="16" t="e">
        <f>+IF(#REF!&lt;=TRATTO1!B25,B25,D26)</f>
        <v>#REF!</v>
      </c>
      <c r="E25" s="16" t="e">
        <f>+IF(#REF!&gt;=TRATTO1!B25,B25,E26)</f>
        <v>#REF!</v>
      </c>
    </row>
    <row r="26" spans="2:5" ht="15">
      <c r="B26" s="16">
        <f t="shared" si="0"/>
        <v>0.19000000000000006</v>
      </c>
      <c r="C26" s="21">
        <v>0.5962</v>
      </c>
      <c r="D26" s="16" t="e">
        <f>+IF(#REF!&lt;=TRATTO1!B26,B26,D27)</f>
        <v>#REF!</v>
      </c>
      <c r="E26" s="16" t="e">
        <f>+IF(#REF!&gt;=TRATTO1!B26,B26,E27)</f>
        <v>#REF!</v>
      </c>
    </row>
    <row r="27" spans="2:5" ht="15">
      <c r="B27" s="16">
        <f t="shared" si="0"/>
        <v>0.20000000000000007</v>
      </c>
      <c r="C27" s="21">
        <v>0.5959</v>
      </c>
      <c r="D27" s="16" t="e">
        <f>+IF(#REF!&lt;=TRATTO1!B27,B27,D28)</f>
        <v>#REF!</v>
      </c>
      <c r="E27" s="16" t="e">
        <f>+IF(#REF!&gt;=TRATTO1!B27,B27,E28)</f>
        <v>#REF!</v>
      </c>
    </row>
    <row r="28" spans="2:5" ht="15">
      <c r="B28" s="16">
        <f t="shared" si="0"/>
        <v>0.21000000000000008</v>
      </c>
      <c r="C28" s="21">
        <v>0.5958</v>
      </c>
      <c r="D28" s="16" t="e">
        <f>+IF(#REF!&lt;=TRATTO1!B28,B28,D29)</f>
        <v>#REF!</v>
      </c>
      <c r="E28" s="16" t="e">
        <f>+IF(#REF!&gt;=TRATTO1!B28,B28,E29)</f>
        <v>#REF!</v>
      </c>
    </row>
    <row r="29" spans="2:5" ht="15">
      <c r="B29" s="16">
        <f t="shared" si="0"/>
        <v>0.22000000000000008</v>
      </c>
      <c r="C29" s="21">
        <v>0.5958</v>
      </c>
      <c r="D29" s="16" t="e">
        <f>+IF(#REF!&lt;=TRATTO1!B29,B29,D30)</f>
        <v>#REF!</v>
      </c>
      <c r="E29" s="16" t="e">
        <f>+IF(#REF!&gt;=TRATTO1!B29,B29,E30)</f>
        <v>#REF!</v>
      </c>
    </row>
    <row r="30" spans="2:5" ht="15">
      <c r="B30" s="16">
        <f t="shared" si="0"/>
        <v>0.2300000000000001</v>
      </c>
      <c r="C30" s="21">
        <v>0.596</v>
      </c>
      <c r="D30" s="16" t="e">
        <f>+IF(#REF!&lt;=TRATTO1!B30,B30,D31)</f>
        <v>#REF!</v>
      </c>
      <c r="E30" s="16" t="e">
        <f>+IF(#REF!&gt;=TRATTO1!B30,B30,E31)</f>
        <v>#REF!</v>
      </c>
    </row>
    <row r="31" spans="2:5" ht="15">
      <c r="B31" s="16">
        <f t="shared" si="0"/>
        <v>0.2400000000000001</v>
      </c>
      <c r="C31" s="21">
        <v>0.5963</v>
      </c>
      <c r="D31" s="16" t="e">
        <f>+IF(#REF!&lt;=TRATTO1!B31,B31,D32)</f>
        <v>#REF!</v>
      </c>
      <c r="E31" s="16" t="e">
        <f>+IF(#REF!&gt;=TRATTO1!B31,B31,E32)</f>
        <v>#REF!</v>
      </c>
    </row>
    <row r="32" spans="2:5" ht="15">
      <c r="B32" s="16">
        <f t="shared" si="0"/>
        <v>0.2500000000000001</v>
      </c>
      <c r="C32" s="21">
        <v>0.5967</v>
      </c>
      <c r="D32" s="16" t="e">
        <f>+IF(#REF!&lt;=TRATTO1!B32,B32,D33)</f>
        <v>#REF!</v>
      </c>
      <c r="E32" s="16" t="e">
        <f>+IF(#REF!&gt;=TRATTO1!B32,B32,E33)</f>
        <v>#REF!</v>
      </c>
    </row>
    <row r="33" spans="2:5" ht="15">
      <c r="B33" s="16">
        <f t="shared" si="0"/>
        <v>0.2600000000000001</v>
      </c>
      <c r="C33" s="21">
        <v>0.5973</v>
      </c>
      <c r="D33" s="16" t="e">
        <f>+IF(#REF!&lt;=TRATTO1!B33,B33,D34)</f>
        <v>#REF!</v>
      </c>
      <c r="E33" s="16" t="e">
        <f>+IF(#REF!&gt;=TRATTO1!B33,B33,E34)</f>
        <v>#REF!</v>
      </c>
    </row>
    <row r="34" spans="2:5" ht="15">
      <c r="B34" s="16">
        <f t="shared" si="0"/>
        <v>0.27000000000000013</v>
      </c>
      <c r="C34" s="21">
        <v>0.5979</v>
      </c>
      <c r="D34" s="16" t="e">
        <f>+IF(#REF!&lt;=TRATTO1!B34,B34,D35)</f>
        <v>#REF!</v>
      </c>
      <c r="E34" s="16" t="e">
        <f>+IF(#REF!&gt;=TRATTO1!B34,B34,E35)</f>
        <v>#REF!</v>
      </c>
    </row>
    <row r="35" spans="2:5" ht="15">
      <c r="B35" s="16">
        <f t="shared" si="0"/>
        <v>0.28000000000000014</v>
      </c>
      <c r="C35" s="21">
        <v>0.5988</v>
      </c>
      <c r="D35" s="16" t="e">
        <f>+IF(#REF!&lt;=TRATTO1!B35,B35,D36)</f>
        <v>#REF!</v>
      </c>
      <c r="E35" s="16" t="e">
        <f>+IF(#REF!&gt;=TRATTO1!B35,B35,E36)</f>
        <v>#REF!</v>
      </c>
    </row>
    <row r="36" spans="2:5" ht="15">
      <c r="B36" s="16">
        <f t="shared" si="0"/>
        <v>0.29000000000000015</v>
      </c>
      <c r="C36" s="21">
        <v>0.5997</v>
      </c>
      <c r="D36" s="16" t="e">
        <f>+IF(#REF!&lt;=TRATTO1!B36,B36,D37)</f>
        <v>#REF!</v>
      </c>
      <c r="E36" s="16" t="e">
        <f>+IF(#REF!&gt;=TRATTO1!B36,B36,E37)</f>
        <v>#REF!</v>
      </c>
    </row>
    <row r="37" spans="2:5" ht="15">
      <c r="B37" s="16">
        <f t="shared" si="0"/>
        <v>0.30000000000000016</v>
      </c>
      <c r="C37" s="21">
        <v>0.6008</v>
      </c>
      <c r="D37" s="16" t="e">
        <f>+IF(#REF!&lt;=TRATTO1!B37,B37,D38)</f>
        <v>#REF!</v>
      </c>
      <c r="E37" s="16" t="e">
        <f>+IF(#REF!&gt;=TRATTO1!B37,B37,E38)</f>
        <v>#REF!</v>
      </c>
    </row>
    <row r="38" spans="2:5" ht="15">
      <c r="B38" s="16">
        <f t="shared" si="0"/>
        <v>0.31000000000000016</v>
      </c>
      <c r="C38" s="21">
        <v>0.602</v>
      </c>
      <c r="D38" s="16" t="e">
        <f>+IF(#REF!&lt;=TRATTO1!B38,B38,D39)</f>
        <v>#REF!</v>
      </c>
      <c r="E38" s="16" t="e">
        <f>+IF(#REF!&gt;=TRATTO1!B38,B38,E39)</f>
        <v>#REF!</v>
      </c>
    </row>
    <row r="39" spans="2:5" ht="15">
      <c r="B39" s="16">
        <f t="shared" si="0"/>
        <v>0.3200000000000002</v>
      </c>
      <c r="C39" s="21">
        <v>0.6033</v>
      </c>
      <c r="D39" s="16" t="e">
        <f>+IF(#REF!&lt;=TRATTO1!B39,B39,D40)</f>
        <v>#REF!</v>
      </c>
      <c r="E39" s="16" t="e">
        <f>+IF(#REF!&gt;=TRATTO1!B39,B39,E40)</f>
        <v>#REF!</v>
      </c>
    </row>
    <row r="40" spans="2:5" ht="15">
      <c r="B40" s="16">
        <f t="shared" si="0"/>
        <v>0.3300000000000002</v>
      </c>
      <c r="C40" s="21">
        <v>0.6047</v>
      </c>
      <c r="D40" s="16" t="e">
        <f>+IF(#REF!&lt;=TRATTO1!B40,B40,D41)</f>
        <v>#REF!</v>
      </c>
      <c r="E40" s="16" t="e">
        <f>+IF(#REF!&gt;=TRATTO1!B40,B40,E41)</f>
        <v>#REF!</v>
      </c>
    </row>
    <row r="41" spans="2:5" ht="15">
      <c r="B41" s="16">
        <f t="shared" si="0"/>
        <v>0.3400000000000002</v>
      </c>
      <c r="C41" s="21">
        <v>0.6065</v>
      </c>
      <c r="D41" s="16" t="e">
        <f>+IF(#REF!&lt;=TRATTO1!B41,B41,D42)</f>
        <v>#REF!</v>
      </c>
      <c r="E41" s="16" t="e">
        <f>+IF(#REF!&gt;=TRATTO1!B41,B41,E42)</f>
        <v>#REF!</v>
      </c>
    </row>
    <row r="42" spans="2:5" ht="15">
      <c r="B42" s="16">
        <f t="shared" si="0"/>
        <v>0.3500000000000002</v>
      </c>
      <c r="C42" s="21">
        <v>0.6078</v>
      </c>
      <c r="D42" s="16" t="e">
        <f>+IF(#REF!&lt;=TRATTO1!B42,B42,D43)</f>
        <v>#REF!</v>
      </c>
      <c r="E42" s="16" t="e">
        <f>+IF(#REF!&gt;=TRATTO1!B42,B42,E43)</f>
        <v>#REF!</v>
      </c>
    </row>
    <row r="43" spans="2:5" ht="15">
      <c r="B43" s="16">
        <f t="shared" si="0"/>
        <v>0.3600000000000002</v>
      </c>
      <c r="C43" s="21">
        <v>0.6096</v>
      </c>
      <c r="D43" s="16" t="e">
        <f>+IF(#REF!&lt;=TRATTO1!B43,B43,D44)</f>
        <v>#REF!</v>
      </c>
      <c r="E43" s="16" t="e">
        <f>+IF(#REF!&gt;=TRATTO1!B43,B43,E44)</f>
        <v>#REF!</v>
      </c>
    </row>
    <row r="44" spans="2:5" ht="15">
      <c r="B44" s="16">
        <f t="shared" si="0"/>
        <v>0.3700000000000002</v>
      </c>
      <c r="C44" s="21">
        <v>0.6114</v>
      </c>
      <c r="D44" s="16" t="e">
        <f>+IF(#REF!&lt;=TRATTO1!B44,B44,D45)</f>
        <v>#REF!</v>
      </c>
      <c r="E44" s="16" t="e">
        <f>+IF(#REF!&gt;=TRATTO1!B44,B44,E45)</f>
        <v>#REF!</v>
      </c>
    </row>
    <row r="45" spans="2:5" ht="15">
      <c r="B45" s="16">
        <f t="shared" si="0"/>
        <v>0.3800000000000002</v>
      </c>
      <c r="C45" s="21">
        <v>0.6133</v>
      </c>
      <c r="D45" s="16" t="e">
        <f>+IF(#REF!&lt;=TRATTO1!B45,B45,D46)</f>
        <v>#REF!</v>
      </c>
      <c r="E45" s="16" t="e">
        <f>+IF(#REF!&gt;=TRATTO1!B45,B45,E46)</f>
        <v>#REF!</v>
      </c>
    </row>
    <row r="46" spans="2:5" ht="15">
      <c r="B46" s="16">
        <f t="shared" si="0"/>
        <v>0.39000000000000024</v>
      </c>
      <c r="C46" s="21">
        <v>0.6154</v>
      </c>
      <c r="D46" s="16" t="e">
        <f>+IF(#REF!&lt;=TRATTO1!B46,B46,D47)</f>
        <v>#REF!</v>
      </c>
      <c r="E46" s="16" t="e">
        <f>+IF(#REF!&gt;=TRATTO1!B46,B46,E47)</f>
        <v>#REF!</v>
      </c>
    </row>
    <row r="47" spans="2:5" ht="15">
      <c r="B47" s="16">
        <f t="shared" si="0"/>
        <v>0.40000000000000024</v>
      </c>
      <c r="C47" s="21">
        <v>0.6175</v>
      </c>
      <c r="D47" s="16" t="e">
        <f>+IF(#REF!&lt;=TRATTO1!B47,B47,D48)</f>
        <v>#REF!</v>
      </c>
      <c r="E47" s="16" t="e">
        <f>+IF(#REF!&gt;=TRATTO1!B47,B47,E48)</f>
        <v>#REF!</v>
      </c>
    </row>
    <row r="48" spans="2:5" ht="15">
      <c r="B48" s="16">
        <f t="shared" si="0"/>
        <v>0.41000000000000025</v>
      </c>
      <c r="C48" s="21">
        <v>0.6198</v>
      </c>
      <c r="D48" s="16" t="e">
        <f>+IF(#REF!&lt;=TRATTO1!B48,B48,D49)</f>
        <v>#REF!</v>
      </c>
      <c r="E48" s="16" t="e">
        <f>+IF(#REF!&gt;=TRATTO1!B48,B48,E49)</f>
        <v>#REF!</v>
      </c>
    </row>
    <row r="49" spans="2:5" ht="15">
      <c r="B49" s="16">
        <f t="shared" si="0"/>
        <v>0.42000000000000026</v>
      </c>
      <c r="C49" s="21">
        <v>0.622</v>
      </c>
      <c r="D49" s="16" t="e">
        <f>+IF(#REF!&lt;=TRATTO1!B49,B49,D50)</f>
        <v>#REF!</v>
      </c>
      <c r="E49" s="16" t="e">
        <f>+IF(#REF!&gt;=TRATTO1!B49,B49,E50)</f>
        <v>#REF!</v>
      </c>
    </row>
    <row r="50" spans="2:5" ht="15">
      <c r="B50" s="16">
        <f t="shared" si="0"/>
        <v>0.43000000000000027</v>
      </c>
      <c r="C50" s="21">
        <v>0.6246</v>
      </c>
      <c r="D50" s="16" t="e">
        <f>+IF(#REF!&lt;=TRATTO1!B50,B50,D51)</f>
        <v>#REF!</v>
      </c>
      <c r="E50" s="16" t="e">
        <f>+IF(#REF!&gt;=TRATTO1!B50,B50,E51)</f>
        <v>#REF!</v>
      </c>
    </row>
    <row r="51" spans="2:5" ht="15">
      <c r="B51" s="16">
        <f t="shared" si="0"/>
        <v>0.4400000000000003</v>
      </c>
      <c r="C51" s="21">
        <v>0.6276</v>
      </c>
      <c r="D51" s="16" t="e">
        <f>+IF(#REF!&lt;=TRATTO1!B51,B51,D52)</f>
        <v>#REF!</v>
      </c>
      <c r="E51" s="16" t="e">
        <f>+IF(#REF!&gt;=TRATTO1!B51,B51,E52)</f>
        <v>#REF!</v>
      </c>
    </row>
    <row r="52" spans="2:5" ht="15">
      <c r="B52" s="16">
        <f t="shared" si="0"/>
        <v>0.4500000000000003</v>
      </c>
      <c r="C52" s="21">
        <v>0.6299</v>
      </c>
      <c r="D52" s="16" t="e">
        <f>+IF(#REF!&lt;=TRATTO1!B52,B52,D53)</f>
        <v>#REF!</v>
      </c>
      <c r="E52" s="16" t="e">
        <f>+IF(#REF!&gt;=TRATTO1!B52,B52,E53)</f>
        <v>#REF!</v>
      </c>
    </row>
    <row r="53" spans="2:5" ht="15">
      <c r="B53" s="16">
        <f t="shared" si="0"/>
        <v>0.4600000000000003</v>
      </c>
      <c r="C53" s="21">
        <v>0.6327</v>
      </c>
      <c r="D53" s="16" t="e">
        <f>+IF(#REF!&lt;=TRATTO1!B53,B53,D54)</f>
        <v>#REF!</v>
      </c>
      <c r="E53" s="16" t="e">
        <f>+IF(#REF!&gt;=TRATTO1!B53,B53,E54)</f>
        <v>#REF!</v>
      </c>
    </row>
    <row r="54" spans="2:5" ht="15">
      <c r="B54" s="16">
        <f t="shared" si="0"/>
        <v>0.4700000000000003</v>
      </c>
      <c r="C54" s="21">
        <v>0.6356</v>
      </c>
      <c r="D54" s="16" t="e">
        <f>+IF(#REF!&lt;=TRATTO1!B54,B54,D55)</f>
        <v>#REF!</v>
      </c>
      <c r="E54" s="16" t="e">
        <f>+IF(#REF!&gt;=TRATTO1!B54,B54,E55)</f>
        <v>#REF!</v>
      </c>
    </row>
    <row r="55" spans="2:5" ht="15">
      <c r="B55" s="16">
        <f t="shared" si="0"/>
        <v>0.4800000000000003</v>
      </c>
      <c r="C55" s="21">
        <v>0.6385</v>
      </c>
      <c r="D55" s="16" t="e">
        <f>+IF(#REF!&lt;=TRATTO1!B55,B55,D56)</f>
        <v>#REF!</v>
      </c>
      <c r="E55" s="16" t="e">
        <f>+IF(#REF!&gt;=TRATTO1!B55,B55,E56)</f>
        <v>#REF!</v>
      </c>
    </row>
    <row r="56" spans="2:5" ht="15">
      <c r="B56" s="16">
        <f t="shared" si="0"/>
        <v>0.4900000000000003</v>
      </c>
      <c r="C56" s="21">
        <v>0.6416</v>
      </c>
      <c r="D56" s="16" t="e">
        <f>+IF(#REF!&lt;=TRATTO1!B56,B56,D57)</f>
        <v>#REF!</v>
      </c>
      <c r="E56" s="16" t="e">
        <f>+IF(#REF!&gt;=TRATTO1!B56,B56,E57)</f>
        <v>#REF!</v>
      </c>
    </row>
    <row r="57" spans="2:5" ht="15">
      <c r="B57" s="16">
        <f t="shared" si="0"/>
        <v>0.5000000000000003</v>
      </c>
      <c r="C57" s="21">
        <v>0.6447</v>
      </c>
      <c r="D57" s="16" t="e">
        <f>+IF(#REF!&lt;=TRATTO1!B57,B57,D58)</f>
        <v>#REF!</v>
      </c>
      <c r="E57" s="16" t="e">
        <f>+IF(#REF!&gt;=TRATTO1!B57,B57,E58)</f>
        <v>#REF!</v>
      </c>
    </row>
    <row r="58" spans="2:5" ht="15">
      <c r="B58" s="16">
        <f t="shared" si="0"/>
        <v>0.5100000000000003</v>
      </c>
      <c r="C58" s="21">
        <v>0.648</v>
      </c>
      <c r="D58" s="16" t="e">
        <f>+IF(#REF!&lt;=TRATTO1!B58,B58,D59)</f>
        <v>#REF!</v>
      </c>
      <c r="E58" s="16" t="e">
        <f>+IF(#REF!&gt;=TRATTO1!B58,B58,E59)</f>
        <v>#REF!</v>
      </c>
    </row>
    <row r="59" spans="2:5" ht="15">
      <c r="B59" s="16">
        <f t="shared" si="0"/>
        <v>0.5200000000000004</v>
      </c>
      <c r="C59" s="21">
        <v>0.6514</v>
      </c>
      <c r="D59" s="16" t="e">
        <f>+IF(#REF!&lt;=TRATTO1!B59,B59,D60)</f>
        <v>#REF!</v>
      </c>
      <c r="E59" s="16" t="e">
        <f>+IF(#REF!&gt;=TRATTO1!B59,B59,E60)</f>
        <v>#REF!</v>
      </c>
    </row>
    <row r="60" spans="2:5" ht="15">
      <c r="B60" s="16">
        <f t="shared" si="0"/>
        <v>0.5300000000000004</v>
      </c>
      <c r="C60" s="21">
        <v>0.6549</v>
      </c>
      <c r="D60" s="16" t="e">
        <f>+IF(#REF!&lt;=TRATTO1!B60,B60,D61)</f>
        <v>#REF!</v>
      </c>
      <c r="E60" s="16" t="e">
        <f>+IF(#REF!&gt;=TRATTO1!B60,B60,E61)</f>
        <v>#REF!</v>
      </c>
    </row>
    <row r="61" spans="2:5" ht="15">
      <c r="B61" s="16">
        <f t="shared" si="0"/>
        <v>0.5400000000000004</v>
      </c>
      <c r="C61" s="21">
        <v>0.6585</v>
      </c>
      <c r="D61" s="16" t="e">
        <f>+IF(#REF!&lt;=TRATTO1!B61,B61,D62)</f>
        <v>#REF!</v>
      </c>
      <c r="E61" s="16" t="e">
        <f>+IF(#REF!&gt;=TRATTO1!B61,B61,E62)</f>
        <v>#REF!</v>
      </c>
    </row>
    <row r="62" spans="2:5" ht="15">
      <c r="B62" s="16">
        <f t="shared" si="0"/>
        <v>0.5500000000000004</v>
      </c>
      <c r="C62" s="21">
        <v>0.6626</v>
      </c>
      <c r="D62" s="16" t="e">
        <f>+IF(#REF!&lt;=TRATTO1!B62,B62,D63)</f>
        <v>#REF!</v>
      </c>
      <c r="E62" s="16" t="e">
        <f>+IF(#REF!&gt;=TRATTO1!B62,B62,E63)</f>
        <v>#REF!</v>
      </c>
    </row>
    <row r="63" spans="2:5" ht="15">
      <c r="B63" s="16">
        <f t="shared" si="0"/>
        <v>0.5600000000000004</v>
      </c>
      <c r="C63" s="21">
        <v>0.6661</v>
      </c>
      <c r="D63" s="16" t="e">
        <f>+IF(#REF!&lt;=TRATTO1!B63,B63,D64)</f>
        <v>#REF!</v>
      </c>
      <c r="E63" s="16" t="e">
        <f>+IF(#REF!&gt;=TRATTO1!B63,B63,E64)</f>
        <v>#REF!</v>
      </c>
    </row>
    <row r="64" spans="2:5" ht="15">
      <c r="B64" s="16">
        <f t="shared" si="0"/>
        <v>0.5700000000000004</v>
      </c>
      <c r="C64" s="21">
        <v>0.6701</v>
      </c>
      <c r="D64" s="16" t="e">
        <f>+IF(#REF!&lt;=TRATTO1!B64,B64,D65)</f>
        <v>#REF!</v>
      </c>
      <c r="E64" s="16" t="e">
        <f>+IF(#REF!&gt;=TRATTO1!B64,B64,E65)</f>
        <v>#REF!</v>
      </c>
    </row>
    <row r="65" spans="2:5" ht="15">
      <c r="B65" s="16">
        <f t="shared" si="0"/>
        <v>0.5800000000000004</v>
      </c>
      <c r="C65" s="21">
        <v>0.6741</v>
      </c>
      <c r="D65" s="16" t="e">
        <f>+IF(#REF!&lt;=TRATTO1!B65,B65,D66)</f>
        <v>#REF!</v>
      </c>
      <c r="E65" s="16" t="e">
        <f>+IF(#REF!&gt;=TRATTO1!B65,B65,E66)</f>
        <v>#REF!</v>
      </c>
    </row>
    <row r="66" spans="2:5" ht="15">
      <c r="B66" s="16">
        <f t="shared" si="0"/>
        <v>0.5900000000000004</v>
      </c>
      <c r="C66" s="21">
        <v>0.6783</v>
      </c>
      <c r="D66" s="16" t="e">
        <f>+IF(#REF!&lt;=TRATTO1!B66,B66,D67)</f>
        <v>#REF!</v>
      </c>
      <c r="E66" s="16" t="e">
        <f>+IF(#REF!&gt;=TRATTO1!B66,B66,E67)</f>
        <v>#REF!</v>
      </c>
    </row>
    <row r="67" spans="2:5" ht="15">
      <c r="B67" s="16">
        <f t="shared" si="0"/>
        <v>0.6000000000000004</v>
      </c>
      <c r="C67" s="21">
        <v>0.6826</v>
      </c>
      <c r="D67" s="16" t="e">
        <f>+IF(#REF!&lt;=TRATTO1!B67,B67,D68)</f>
        <v>#REF!</v>
      </c>
      <c r="E67" s="16" t="e">
        <f>+IF(#REF!&gt;=TRATTO1!B67,B67,E68)</f>
        <v>#REF!</v>
      </c>
    </row>
    <row r="68" spans="2:5" ht="15">
      <c r="B68" s="16">
        <f t="shared" si="0"/>
        <v>0.6100000000000004</v>
      </c>
      <c r="C68" s="21">
        <v>0.687</v>
      </c>
      <c r="D68" s="16" t="e">
        <f>+IF(#REF!&lt;=TRATTO1!B68,B68,D69)</f>
        <v>#REF!</v>
      </c>
      <c r="E68" s="16" t="e">
        <f>+IF(#REF!&gt;=TRATTO1!B68,B68,E69)</f>
        <v>#REF!</v>
      </c>
    </row>
    <row r="69" spans="2:5" ht="15">
      <c r="B69" s="16">
        <f t="shared" si="0"/>
        <v>0.6200000000000004</v>
      </c>
      <c r="C69" s="21">
        <v>0.6915</v>
      </c>
      <c r="D69" s="16" t="e">
        <f>+IF(#REF!&lt;=TRATTO1!B69,B69,D70)</f>
        <v>#REF!</v>
      </c>
      <c r="E69" s="16" t="e">
        <f>+IF(#REF!&gt;=TRATTO1!B69,B69,E70)</f>
        <v>#REF!</v>
      </c>
    </row>
    <row r="70" spans="2:5" ht="15">
      <c r="B70" s="16">
        <f t="shared" si="0"/>
        <v>0.6300000000000004</v>
      </c>
      <c r="C70" s="21">
        <v>0.6961</v>
      </c>
      <c r="D70" s="16" t="e">
        <f>+IF(#REF!&lt;=TRATTO1!B70,B70,D71)</f>
        <v>#REF!</v>
      </c>
      <c r="E70" s="16" t="e">
        <f>+IF(#REF!&gt;=TRATTO1!B70,B70,E71)</f>
        <v>#REF!</v>
      </c>
    </row>
    <row r="71" spans="2:5" ht="15">
      <c r="B71" s="16">
        <f t="shared" si="0"/>
        <v>0.6400000000000005</v>
      </c>
      <c r="C71" s="21">
        <v>0.7009</v>
      </c>
      <c r="D71" s="16" t="e">
        <f>+IF(#REF!&lt;=TRATTO1!B71,B71,D72)</f>
        <v>#REF!</v>
      </c>
      <c r="E71" s="16" t="e">
        <f>+IF(#REF!&gt;=TRATTO1!B71,B71,E72)</f>
        <v>#REF!</v>
      </c>
    </row>
    <row r="72" spans="2:5" ht="15">
      <c r="B72" s="16">
        <f t="shared" si="0"/>
        <v>0.6500000000000005</v>
      </c>
      <c r="C72" s="21">
        <v>0.7058</v>
      </c>
      <c r="D72" s="16" t="e">
        <f>+IF(#REF!&lt;=TRATTO1!B72,B72,D73)</f>
        <v>#REF!</v>
      </c>
      <c r="E72" s="16" t="e">
        <f>+IF(#REF!&gt;=TRATTO1!B72,B72,E73)</f>
        <v>#REF!</v>
      </c>
    </row>
    <row r="73" spans="2:5" ht="15">
      <c r="B73" s="16">
        <f t="shared" si="0"/>
        <v>0.6600000000000005</v>
      </c>
      <c r="C73" s="21">
        <v>0.7108</v>
      </c>
      <c r="D73" s="16" t="e">
        <f>+IF(#REF!&lt;=TRATTO1!B73,B73,D74)</f>
        <v>#REF!</v>
      </c>
      <c r="E73" s="16" t="e">
        <f>+IF(#REF!&gt;=TRATTO1!B73,B73,E74)</f>
        <v>#REF!</v>
      </c>
    </row>
    <row r="74" spans="2:5" ht="15">
      <c r="B74" s="16">
        <f t="shared" si="0"/>
        <v>0.6700000000000005</v>
      </c>
      <c r="C74" s="21">
        <v>0.7159</v>
      </c>
      <c r="D74" s="16" t="e">
        <f>+IF(#REF!&lt;=TRATTO1!B74,B74,D75)</f>
        <v>#REF!</v>
      </c>
      <c r="E74" s="16" t="e">
        <f>+IF(#REF!&gt;=TRATTO1!B74,B74,E75)</f>
        <v>#REF!</v>
      </c>
    </row>
    <row r="75" spans="2:5" ht="15">
      <c r="B75" s="16">
        <f t="shared" si="0"/>
        <v>0.6800000000000005</v>
      </c>
      <c r="C75" s="21">
        <v>0.7212</v>
      </c>
      <c r="D75" s="16" t="e">
        <f>+IF(#REF!&lt;=TRATTO1!B75,B75,D76)</f>
        <v>#REF!</v>
      </c>
      <c r="E75" s="16" t="e">
        <f>+IF(#REF!&gt;=TRATTO1!B75,B75,E76)</f>
        <v>#REF!</v>
      </c>
    </row>
    <row r="76" spans="2:5" ht="15">
      <c r="B76" s="16">
        <f t="shared" si="0"/>
        <v>0.6900000000000005</v>
      </c>
      <c r="C76" s="21">
        <v>0.7267</v>
      </c>
      <c r="D76" s="16" t="e">
        <f>+IF(#REF!&lt;=TRATTO1!B76,B76,D77)</f>
        <v>#REF!</v>
      </c>
      <c r="E76" s="16" t="e">
        <f>+IF(#REF!&gt;=TRATTO1!B76,B76,E77)</f>
        <v>#REF!</v>
      </c>
    </row>
    <row r="77" spans="2:5" ht="15">
      <c r="B77" s="16">
        <f t="shared" si="0"/>
        <v>0.7000000000000005</v>
      </c>
      <c r="C77" s="21">
        <v>0.7322</v>
      </c>
      <c r="D77" s="16" t="e">
        <f>+IF(#REF!&lt;=TRATTO1!B77,B77,D78)</f>
        <v>#REF!</v>
      </c>
      <c r="E77" s="16" t="e">
        <f>+IF(#REF!&gt;=TRATTO1!B77,B77,E78)</f>
        <v>#REF!</v>
      </c>
    </row>
    <row r="78" spans="2:5" ht="15">
      <c r="B78" s="16">
        <f t="shared" si="0"/>
        <v>0.7100000000000005</v>
      </c>
      <c r="C78" s="21">
        <v>0.738</v>
      </c>
      <c r="D78" s="16" t="e">
        <f>+IF(#REF!&lt;=TRATTO1!B78,B78,D79)</f>
        <v>#REF!</v>
      </c>
      <c r="E78" s="16" t="e">
        <f>+IF(#REF!&gt;=TRATTO1!B78,B78,E79)</f>
        <v>#REF!</v>
      </c>
    </row>
    <row r="79" spans="2:5" ht="15">
      <c r="B79" s="16">
        <f t="shared" si="0"/>
        <v>0.7200000000000005</v>
      </c>
      <c r="C79" s="21">
        <v>0.7438</v>
      </c>
      <c r="D79" s="16" t="e">
        <f>+IF(#REF!&lt;=TRATTO1!B79,B79,D80)</f>
        <v>#REF!</v>
      </c>
      <c r="E79" s="16" t="e">
        <f>+IF(#REF!&gt;=TRATTO1!B79,B79,E80)</f>
        <v>#REF!</v>
      </c>
    </row>
    <row r="80" spans="2:5" ht="15">
      <c r="B80" s="16">
        <f t="shared" si="0"/>
        <v>0.7300000000000005</v>
      </c>
      <c r="C80" s="21">
        <v>0.7498</v>
      </c>
      <c r="D80" s="16" t="e">
        <f>+IF(#REF!&lt;=TRATTO1!B80,B80,D81)</f>
        <v>#REF!</v>
      </c>
      <c r="E80" s="16" t="e">
        <f>+IF(#REF!&gt;=TRATTO1!B80,B80,E81)</f>
        <v>#REF!</v>
      </c>
    </row>
    <row r="81" spans="2:5" ht="15">
      <c r="B81" s="16">
        <f t="shared" si="0"/>
        <v>0.7400000000000005</v>
      </c>
      <c r="C81" s="21">
        <v>0.756</v>
      </c>
      <c r="D81" s="16" t="e">
        <f>+IF(#REF!&lt;=TRATTO1!B81,B81,D82)</f>
        <v>#REF!</v>
      </c>
      <c r="E81" s="16" t="e">
        <f>+IF(#REF!&gt;=TRATTO1!B81,B81,E82)</f>
        <v>#REF!</v>
      </c>
    </row>
    <row r="82" spans="2:5" ht="15">
      <c r="B82" s="16">
        <f t="shared" si="0"/>
        <v>0.7500000000000006</v>
      </c>
      <c r="C82" s="21">
        <v>0.7623</v>
      </c>
      <c r="D82" s="16" t="e">
        <f>+IF(#REF!&lt;=TRATTO1!B82,B82,D83)</f>
        <v>#REF!</v>
      </c>
      <c r="E82" s="16" t="e">
        <f>+IF(#REF!&gt;=TRATTO1!B82,B82,E83)</f>
        <v>#REF!</v>
      </c>
    </row>
    <row r="83" spans="2:5" ht="15">
      <c r="B83" s="16">
        <f aca="true" t="shared" si="1" ref="B83:B87">+B82+0.01</f>
        <v>0.7600000000000006</v>
      </c>
      <c r="C83" s="21">
        <v>0.7688</v>
      </c>
      <c r="D83" s="16" t="e">
        <f>+IF(#REF!&lt;=TRATTO1!B83,B83,D84)</f>
        <v>#REF!</v>
      </c>
      <c r="E83" s="16" t="e">
        <f>+IF(#REF!&gt;=TRATTO1!B83,B83,E84)</f>
        <v>#REF!</v>
      </c>
    </row>
    <row r="84" spans="2:5" ht="15">
      <c r="B84" s="16">
        <f t="shared" si="1"/>
        <v>0.7700000000000006</v>
      </c>
      <c r="C84" s="21">
        <v>0.7754</v>
      </c>
      <c r="D84" s="16" t="e">
        <f>+IF(#REF!&lt;=TRATTO1!B84,B84,D85)</f>
        <v>#REF!</v>
      </c>
      <c r="E84" s="16" t="e">
        <f>+IF(#REF!&gt;=TRATTO1!B84,B84,E85)</f>
        <v>#REF!</v>
      </c>
    </row>
    <row r="85" spans="2:5" ht="15">
      <c r="B85" s="16">
        <f t="shared" si="1"/>
        <v>0.7800000000000006</v>
      </c>
      <c r="C85" s="21">
        <v>0.7822</v>
      </c>
      <c r="D85" s="16" t="e">
        <f>+IF(#REF!&lt;=TRATTO1!B85,B85,D86)</f>
        <v>#REF!</v>
      </c>
      <c r="E85" s="16" t="e">
        <f>+IF(#REF!&gt;=TRATTO1!B85,B85,E86)</f>
        <v>#REF!</v>
      </c>
    </row>
    <row r="86" spans="2:5" ht="15">
      <c r="B86" s="16">
        <f t="shared" si="1"/>
        <v>0.7900000000000006</v>
      </c>
      <c r="C86" s="21">
        <v>0.7893</v>
      </c>
      <c r="D86" s="16" t="e">
        <f>+IF(#REF!&lt;=TRATTO1!B86,B86,D87)</f>
        <v>#REF!</v>
      </c>
      <c r="E86" s="16" t="e">
        <f>+IF(#REF!&gt;=TRATTO1!B86,B86,E87)</f>
        <v>#REF!</v>
      </c>
    </row>
    <row r="87" spans="2:5" ht="15">
      <c r="B87" s="16">
        <f t="shared" si="1"/>
        <v>0.8000000000000006</v>
      </c>
      <c r="C87" s="21">
        <v>0.7964</v>
      </c>
      <c r="D87" s="16" t="e">
        <f>+IF(#REF!&lt;=TRATTO1!B87,B87,D88)</f>
        <v>#REF!</v>
      </c>
      <c r="E87" s="16" t="e">
        <f>+IF(#REF!&gt;=TRATTO1!B87,B87,E88)</f>
        <v>#REF!</v>
      </c>
    </row>
    <row r="89" spans="2:4" ht="17.25">
      <c r="B89" s="17" t="str">
        <f>+'Verifica Idraulica'!E40</f>
        <v>Q20</v>
      </c>
      <c r="C89" s="22">
        <f>+'Verifica Idraulica'!F40</f>
        <v>0.16431032800276182</v>
      </c>
      <c r="D89" s="17" t="s">
        <v>44</v>
      </c>
    </row>
    <row r="90" ht="15">
      <c r="B90" s="1" t="s">
        <v>48</v>
      </c>
    </row>
    <row r="91" spans="1:13" ht="17.25">
      <c r="A91" s="17" t="s">
        <v>79</v>
      </c>
      <c r="B91" s="17" t="s">
        <v>50</v>
      </c>
      <c r="C91" s="17" t="s">
        <v>49</v>
      </c>
      <c r="D91" s="17" t="s">
        <v>53</v>
      </c>
      <c r="E91" s="17" t="s">
        <v>61</v>
      </c>
      <c r="F91" s="17" t="s">
        <v>62</v>
      </c>
      <c r="G91" s="17" t="s">
        <v>66</v>
      </c>
      <c r="H91" s="17" t="s">
        <v>67</v>
      </c>
      <c r="I91" s="17" t="s">
        <v>70</v>
      </c>
      <c r="J91" s="17" t="s">
        <v>71</v>
      </c>
      <c r="K91" s="17" t="s">
        <v>63</v>
      </c>
      <c r="L91" s="17" t="s">
        <v>64</v>
      </c>
      <c r="M91" s="17" t="s">
        <v>72</v>
      </c>
    </row>
    <row r="92" spans="1:13" ht="18">
      <c r="A92" s="17" t="s">
        <v>31</v>
      </c>
      <c r="B92" s="17" t="s">
        <v>31</v>
      </c>
      <c r="C92" s="17" t="s">
        <v>51</v>
      </c>
      <c r="D92" s="17" t="s">
        <v>58</v>
      </c>
      <c r="E92" s="17" t="s">
        <v>31</v>
      </c>
      <c r="F92" s="17" t="s">
        <v>31</v>
      </c>
      <c r="G92" s="17" t="s">
        <v>65</v>
      </c>
      <c r="H92" s="17" t="s">
        <v>65</v>
      </c>
      <c r="I92" s="17" t="s">
        <v>31</v>
      </c>
      <c r="J92" s="17" t="s">
        <v>31</v>
      </c>
      <c r="K92" s="17" t="s">
        <v>44</v>
      </c>
      <c r="L92" s="17" t="s">
        <v>44</v>
      </c>
      <c r="M92" s="17" t="s">
        <v>31</v>
      </c>
    </row>
    <row r="93" spans="1:15" ht="15">
      <c r="A93" s="16">
        <f>+'Verifica Idraulica'!I15</f>
        <v>0.5</v>
      </c>
      <c r="B93" s="14">
        <f>+'Verifica Idraulica'!L15</f>
        <v>86</v>
      </c>
      <c r="C93" s="14">
        <f>+'Verifica Idraulica'!J15</f>
        <v>0.015</v>
      </c>
      <c r="D93" s="24">
        <f>+'Verifica Idraulica'!K15</f>
        <v>80</v>
      </c>
      <c r="E93" s="15">
        <v>0.005944133571679615</v>
      </c>
      <c r="F93" s="15">
        <v>0.007193442383986226</v>
      </c>
      <c r="G93" s="15">
        <f>+E93*B93</f>
        <v>0.5111954871644468</v>
      </c>
      <c r="H93" s="15">
        <f>+B93*F93</f>
        <v>0.6186360450228154</v>
      </c>
      <c r="I93" s="15">
        <f>+(B93*E93)/(B93+2*E93)</f>
        <v>0.005943311993997045</v>
      </c>
      <c r="J93" s="15">
        <f>+(B93*F93)/(B93+2*F93)</f>
        <v>0.007192239198909733</v>
      </c>
      <c r="K93" s="15">
        <f>+D93*I93^(2/3)*C93^0.5*G93</f>
        <v>0.16433938112376953</v>
      </c>
      <c r="L93" s="15">
        <f>+B93*(9.81*F93^3)^0.5</f>
        <v>0.16433804232127175</v>
      </c>
      <c r="M93" s="15">
        <f>+E93</f>
        <v>0.005944133571679615</v>
      </c>
      <c r="O93" s="43"/>
    </row>
    <row r="95" ht="15">
      <c r="B95" s="1" t="s">
        <v>59</v>
      </c>
    </row>
    <row r="96" spans="1:15" ht="17.25">
      <c r="A96" s="17" t="s">
        <v>79</v>
      </c>
      <c r="B96" s="17" t="s">
        <v>82</v>
      </c>
      <c r="C96" s="17" t="s">
        <v>49</v>
      </c>
      <c r="D96" s="17" t="s">
        <v>53</v>
      </c>
      <c r="E96" s="17" t="s">
        <v>68</v>
      </c>
      <c r="F96" s="17" t="s">
        <v>69</v>
      </c>
      <c r="G96" s="17" t="s">
        <v>54</v>
      </c>
      <c r="H96" s="17" t="s">
        <v>55</v>
      </c>
      <c r="I96" s="17" t="s">
        <v>66</v>
      </c>
      <c r="J96" s="17" t="s">
        <v>67</v>
      </c>
      <c r="K96" s="17" t="s">
        <v>70</v>
      </c>
      <c r="L96" s="17" t="s">
        <v>71</v>
      </c>
      <c r="M96" s="17" t="s">
        <v>56</v>
      </c>
      <c r="N96" s="17" t="s">
        <v>57</v>
      </c>
      <c r="O96" s="17" t="s">
        <v>72</v>
      </c>
    </row>
    <row r="97" spans="1:15" ht="18">
      <c r="A97" s="17" t="s">
        <v>31</v>
      </c>
      <c r="B97" s="17" t="s">
        <v>60</v>
      </c>
      <c r="C97" s="17" t="s">
        <v>51</v>
      </c>
      <c r="D97" s="17" t="s">
        <v>58</v>
      </c>
      <c r="E97" s="17" t="s">
        <v>31</v>
      </c>
      <c r="F97" s="17" t="s">
        <v>31</v>
      </c>
      <c r="G97" s="17" t="s">
        <v>31</v>
      </c>
      <c r="H97" s="17" t="s">
        <v>31</v>
      </c>
      <c r="I97" s="17" t="s">
        <v>65</v>
      </c>
      <c r="J97" s="17" t="s">
        <v>65</v>
      </c>
      <c r="K97" s="17" t="s">
        <v>31</v>
      </c>
      <c r="L97" s="17" t="s">
        <v>31</v>
      </c>
      <c r="M97" s="17" t="s">
        <v>52</v>
      </c>
      <c r="N97" s="17" t="s">
        <v>52</v>
      </c>
      <c r="O97" s="17" t="s">
        <v>31</v>
      </c>
    </row>
    <row r="98" spans="1:15" ht="15">
      <c r="A98" s="16">
        <f>+A93</f>
        <v>0.5</v>
      </c>
      <c r="B98" s="16">
        <f>+'Verifica Idraulica'!L15</f>
        <v>86</v>
      </c>
      <c r="C98" s="14">
        <f>+C93</f>
        <v>0.015</v>
      </c>
      <c r="D98" s="24">
        <f>+D93</f>
        <v>80</v>
      </c>
      <c r="E98" s="15">
        <f>2*G98/TAN(RADIANS($B$98))</f>
        <v>0.1896223143104152</v>
      </c>
      <c r="F98" s="15">
        <f>2*H98/TAN(RADIANS($B$98))</f>
        <v>0.1433351401757301</v>
      </c>
      <c r="G98" s="15">
        <v>1.3558627158892904</v>
      </c>
      <c r="H98" s="15">
        <v>1.0248940012560699</v>
      </c>
      <c r="I98" s="15">
        <f>+E98*G98/2</f>
        <v>0.12855091303706612</v>
      </c>
      <c r="J98" s="15">
        <f>+F98*H98/2</f>
        <v>0.07345166266765184</v>
      </c>
      <c r="K98" s="15">
        <f>+I98/(2*G98/SIN(RADIANS(B98)))</f>
        <v>0.0472901009707848</v>
      </c>
      <c r="L98" s="15">
        <f>+J98/(2*H98/SIN(RADIANS(B98)))</f>
        <v>0.03574649574456524</v>
      </c>
      <c r="M98" s="15">
        <f>+D98*K98^(2/3)*C98^0.5*I98</f>
        <v>0.16471163427450097</v>
      </c>
      <c r="N98" s="15">
        <f>+(1/F98*J98^3*9.81)^0.5</f>
        <v>0.16468749074150849</v>
      </c>
      <c r="O98" s="15">
        <f>+G98</f>
        <v>1.3558627158892904</v>
      </c>
    </row>
    <row r="100" ht="15">
      <c r="B100" s="1" t="s">
        <v>73</v>
      </c>
    </row>
    <row r="101" spans="1:17" ht="17.25">
      <c r="A101" s="17" t="s">
        <v>79</v>
      </c>
      <c r="B101" s="17" t="s">
        <v>83</v>
      </c>
      <c r="C101" s="17" t="s">
        <v>84</v>
      </c>
      <c r="D101" s="17" t="s">
        <v>32</v>
      </c>
      <c r="E101" s="17" t="s">
        <v>49</v>
      </c>
      <c r="F101" s="17" t="s">
        <v>53</v>
      </c>
      <c r="G101" s="17" t="s">
        <v>68</v>
      </c>
      <c r="H101" s="17" t="s">
        <v>69</v>
      </c>
      <c r="I101" s="17" t="s">
        <v>54</v>
      </c>
      <c r="J101" s="17" t="s">
        <v>55</v>
      </c>
      <c r="K101" s="17" t="s">
        <v>66</v>
      </c>
      <c r="L101" s="17" t="s">
        <v>67</v>
      </c>
      <c r="M101" s="17" t="s">
        <v>70</v>
      </c>
      <c r="N101" s="17" t="s">
        <v>71</v>
      </c>
      <c r="O101" s="17" t="s">
        <v>56</v>
      </c>
      <c r="P101" s="17" t="s">
        <v>57</v>
      </c>
      <c r="Q101" s="17" t="s">
        <v>72</v>
      </c>
    </row>
    <row r="102" spans="1:17" ht="18">
      <c r="A102" s="17" t="s">
        <v>31</v>
      </c>
      <c r="B102" s="17" t="s">
        <v>60</v>
      </c>
      <c r="C102" s="17" t="s">
        <v>60</v>
      </c>
      <c r="D102" s="17" t="s">
        <v>31</v>
      </c>
      <c r="E102" s="17" t="s">
        <v>51</v>
      </c>
      <c r="F102" s="17" t="s">
        <v>58</v>
      </c>
      <c r="G102" s="17" t="s">
        <v>31</v>
      </c>
      <c r="H102" s="17" t="s">
        <v>31</v>
      </c>
      <c r="I102" s="17" t="s">
        <v>31</v>
      </c>
      <c r="J102" s="17" t="s">
        <v>31</v>
      </c>
      <c r="K102" s="17" t="s">
        <v>65</v>
      </c>
      <c r="L102" s="17" t="s">
        <v>65</v>
      </c>
      <c r="M102" s="17" t="s">
        <v>31</v>
      </c>
      <c r="N102" s="17" t="s">
        <v>31</v>
      </c>
      <c r="O102" s="17" t="s">
        <v>52</v>
      </c>
      <c r="P102" s="17" t="s">
        <v>52</v>
      </c>
      <c r="Q102" s="17" t="s">
        <v>31</v>
      </c>
    </row>
    <row r="103" spans="1:17" ht="15">
      <c r="A103" s="16">
        <f>+A98</f>
        <v>0.5</v>
      </c>
      <c r="B103" s="4">
        <f>+'Verifica Idraulica'!L15</f>
        <v>86</v>
      </c>
      <c r="C103" s="4">
        <f>+'Verifica Idraulica'!M15</f>
        <v>86</v>
      </c>
      <c r="D103" s="14">
        <f>+'Verifica Idraulica'!N15</f>
        <v>0.5</v>
      </c>
      <c r="E103" s="14">
        <f>+C98</f>
        <v>0.015</v>
      </c>
      <c r="F103" s="24">
        <f>+D98</f>
        <v>80</v>
      </c>
      <c r="G103" s="15">
        <f>+D103+I103/TAN(RADIANS(B103))+I103/TAN(RADIANS(C103))</f>
        <v>0.521741998721813</v>
      </c>
      <c r="H103" s="15">
        <f>+D103+J103/TAN(RADIANS(B103))+J103/TAN(RADIANS(C103))</f>
        <v>0.5307925607737203</v>
      </c>
      <c r="I103" s="15">
        <v>0.15546253373725266</v>
      </c>
      <c r="J103" s="15">
        <v>0.22017706740724724</v>
      </c>
      <c r="K103" s="15">
        <f>+I103^2/(2*TAN(RADIANS(B103)))+I103^2/(2*TAN(RADIANS(C103)))+D103*I103</f>
        <v>0.07942129997352891</v>
      </c>
      <c r="L103" s="15">
        <f>+J103^2/(2*TAN(RADIANS(B103)))+J103^2/(2*TAN(RADIANS(C103)))+D103*J103</f>
        <v>0.11347844156818221</v>
      </c>
      <c r="M103" s="15">
        <f>+K103/(D103+I103/SIN(RADIANS(B103))+I103/SIN(RADIANS(C103)))</f>
        <v>0.09784752338485536</v>
      </c>
      <c r="N103" s="15">
        <f>+L103/(D103+J103/SIN(RADIANS(B103))+J103/SIN(RADIANS(C103)))</f>
        <v>0.12053844651730775</v>
      </c>
      <c r="O103" s="15">
        <f>+F103*M103^(0.666666666666667)*E103^0.5*K103</f>
        <v>0.16523644130711146</v>
      </c>
      <c r="P103" s="15">
        <f>+(1/H103*9.81*L103^3)^0.5</f>
        <v>0.1643395654512089</v>
      </c>
      <c r="Q103" s="15">
        <f>+I103</f>
        <v>0.15546253373725266</v>
      </c>
    </row>
    <row r="105" spans="2:4" ht="15">
      <c r="B105" s="1" t="s">
        <v>74</v>
      </c>
      <c r="D105" s="3"/>
    </row>
    <row r="106" spans="1:17" ht="17.25">
      <c r="A106" s="17" t="s">
        <v>79</v>
      </c>
      <c r="B106" s="17" t="s">
        <v>75</v>
      </c>
      <c r="C106" s="17" t="s">
        <v>49</v>
      </c>
      <c r="D106" s="17" t="s">
        <v>53</v>
      </c>
      <c r="E106" s="23" t="s">
        <v>76</v>
      </c>
      <c r="F106" s="23" t="s">
        <v>77</v>
      </c>
      <c r="G106" s="17" t="s">
        <v>54</v>
      </c>
      <c r="H106" s="17" t="s">
        <v>55</v>
      </c>
      <c r="I106" s="17" t="s">
        <v>66</v>
      </c>
      <c r="J106" s="17" t="s">
        <v>67</v>
      </c>
      <c r="K106" s="17" t="s">
        <v>70</v>
      </c>
      <c r="L106" s="17" t="s">
        <v>71</v>
      </c>
      <c r="M106" s="17" t="s">
        <v>56</v>
      </c>
      <c r="N106" s="17" t="s">
        <v>57</v>
      </c>
      <c r="O106" s="17" t="s">
        <v>72</v>
      </c>
      <c r="P106" s="17" t="s">
        <v>90</v>
      </c>
      <c r="Q106" s="41"/>
    </row>
    <row r="107" spans="1:17" ht="18">
      <c r="A107" s="17" t="s">
        <v>31</v>
      </c>
      <c r="B107" s="17" t="s">
        <v>31</v>
      </c>
      <c r="C107" s="17" t="s">
        <v>51</v>
      </c>
      <c r="D107" s="17" t="s">
        <v>58</v>
      </c>
      <c r="E107" s="17" t="s">
        <v>78</v>
      </c>
      <c r="F107" s="17" t="s">
        <v>78</v>
      </c>
      <c r="G107" s="17" t="s">
        <v>31</v>
      </c>
      <c r="H107" s="17" t="s">
        <v>31</v>
      </c>
      <c r="I107" s="17" t="s">
        <v>65</v>
      </c>
      <c r="J107" s="17" t="s">
        <v>65</v>
      </c>
      <c r="K107" s="17" t="s">
        <v>31</v>
      </c>
      <c r="L107" s="17" t="s">
        <v>31</v>
      </c>
      <c r="M107" s="17" t="s">
        <v>52</v>
      </c>
      <c r="N107" s="17" t="s">
        <v>52</v>
      </c>
      <c r="O107" s="17" t="s">
        <v>31</v>
      </c>
      <c r="P107" s="17" t="s">
        <v>31</v>
      </c>
      <c r="Q107" s="41"/>
    </row>
    <row r="108" spans="1:17" ht="15">
      <c r="A108" s="16">
        <f>+A103</f>
        <v>0.5</v>
      </c>
      <c r="B108" s="4">
        <f>+'Verifica Idraulica'!L15</f>
        <v>86</v>
      </c>
      <c r="C108" s="14">
        <f>+E103</f>
        <v>0.015</v>
      </c>
      <c r="D108" s="24">
        <f>+F103</f>
        <v>80</v>
      </c>
      <c r="E108" s="15">
        <f>+(2*ACOS(1-2*G108/B108))</f>
        <v>1.4743492438344228</v>
      </c>
      <c r="F108" s="15">
        <f>+(2*ACOS(1-2*H108/B108))</f>
        <v>1.4744126177209247</v>
      </c>
      <c r="G108" s="15">
        <v>11.164058740085787</v>
      </c>
      <c r="H108" s="15">
        <v>11.164974652812493</v>
      </c>
      <c r="I108" s="15">
        <f>IF(G108&gt;=B108/2,1/4*B108^2*ACOS(1-2*G108/B108)+(G108-B108/2)*(B108/2)*(SIN(PI()-E108/2)),E108/8*B108^2+1/2*(G108-B108/2)*B108*COS(E108-PI()/2))</f>
        <v>0.45246042744474835</v>
      </c>
      <c r="J108" s="15">
        <f>IF(H108&gt;=B108/2,1/4*B108^2*ACOS(1-2*H108/B108)+(H108-B108/2)*(B108/2)*(SIN(PI()-F108/2)),F108/8*B108^2+1/2*(H108-B108/2)*B108*COS(F108-PI()/2))</f>
        <v>0.5418994356582516</v>
      </c>
      <c r="K108" s="15">
        <f>+I108/(B108/2*E108)</f>
        <v>0.007136935543579121</v>
      </c>
      <c r="L108" s="15">
        <f>+I108/(B108/2*F108)</f>
        <v>0.0071366287805077295</v>
      </c>
      <c r="M108" s="15">
        <f>IF(I108&lt;0,0,D108*K108^(2/3)*C108^0.5*I108)</f>
        <v>0.16433272907342136</v>
      </c>
      <c r="N108" s="25">
        <f>+IF(J108&lt;0,0,(1/P108*9.81*J108^3)^0.5)</f>
        <v>0.16432622975869357</v>
      </c>
      <c r="O108" s="15">
        <f>+G108</f>
        <v>11.164058740085787</v>
      </c>
      <c r="P108" s="25">
        <f>+B108*SIN(F108/2)</f>
        <v>57.81111177425768</v>
      </c>
      <c r="Q108" s="42"/>
    </row>
    <row r="111" spans="2:13" ht="15">
      <c r="B111" s="26"/>
      <c r="C111" s="26"/>
      <c r="D111" s="26"/>
      <c r="E111" s="29"/>
      <c r="F111" s="29"/>
      <c r="G111" s="29"/>
      <c r="H111" s="29"/>
      <c r="I111" s="26"/>
      <c r="M111" s="40"/>
    </row>
    <row r="112" spans="2:9" ht="15">
      <c r="B112" s="26"/>
      <c r="C112" s="26"/>
      <c r="D112" s="26"/>
      <c r="E112" s="26"/>
      <c r="F112" s="26"/>
      <c r="G112" s="26"/>
      <c r="H112" s="26"/>
      <c r="I112" s="26"/>
    </row>
    <row r="113" spans="2:13" ht="15">
      <c r="B113" s="26"/>
      <c r="C113" s="26"/>
      <c r="D113" s="26"/>
      <c r="E113" s="26"/>
      <c r="F113" s="26"/>
      <c r="G113" s="26"/>
      <c r="H113" s="26"/>
      <c r="I113" s="26"/>
      <c r="M113" s="40"/>
    </row>
    <row r="114" spans="2:10" ht="15">
      <c r="B114" s="26"/>
      <c r="C114" s="26"/>
      <c r="D114" s="26"/>
      <c r="E114" s="26"/>
      <c r="F114" s="26"/>
      <c r="G114" s="27"/>
      <c r="H114" s="26"/>
      <c r="I114" s="26"/>
      <c r="J114" s="40"/>
    </row>
    <row r="115" spans="2:9" ht="15">
      <c r="B115" s="27"/>
      <c r="C115" s="27"/>
      <c r="D115" s="26"/>
      <c r="E115" s="27"/>
      <c r="F115" s="26"/>
      <c r="G115" s="28"/>
      <c r="H115" s="26"/>
      <c r="I115" s="26"/>
    </row>
    <row r="116" spans="2:9" ht="15">
      <c r="B116" s="27"/>
      <c r="C116" s="27"/>
      <c r="D116" s="26"/>
      <c r="E116" s="27"/>
      <c r="F116" s="26"/>
      <c r="G116" s="26"/>
      <c r="H116" s="26"/>
      <c r="I116" s="26"/>
    </row>
    <row r="117" spans="2:9" ht="15">
      <c r="B117" s="26"/>
      <c r="C117" s="27"/>
      <c r="D117" s="26"/>
      <c r="E117" s="26"/>
      <c r="F117" s="26"/>
      <c r="G117" s="26"/>
      <c r="H117" s="26"/>
      <c r="I117" s="26"/>
    </row>
    <row r="118" spans="2:9" ht="15">
      <c r="B118" s="26"/>
      <c r="C118" s="27"/>
      <c r="D118" s="26"/>
      <c r="E118" s="26"/>
      <c r="F118" s="27"/>
      <c r="G118" s="26"/>
      <c r="H118" s="27"/>
      <c r="I118" s="26"/>
    </row>
    <row r="119" spans="2:9" ht="15">
      <c r="B119" s="27"/>
      <c r="C119" s="27"/>
      <c r="D119" s="26"/>
      <c r="E119" s="27"/>
      <c r="F119" s="27"/>
      <c r="G119" s="27"/>
      <c r="H119" s="27"/>
      <c r="I119" s="26"/>
    </row>
    <row r="120" spans="2:9" ht="15">
      <c r="B120" s="26"/>
      <c r="C120" s="26"/>
      <c r="D120" s="26"/>
      <c r="E120" s="26"/>
      <c r="F120" s="26"/>
      <c r="G120" s="26"/>
      <c r="H120" s="26"/>
      <c r="I120" s="26"/>
    </row>
    <row r="121" spans="2:9" ht="15">
      <c r="B121" s="26"/>
      <c r="C121" s="26"/>
      <c r="D121" s="26"/>
      <c r="E121" s="26"/>
      <c r="F121" s="26"/>
      <c r="G121" s="26"/>
      <c r="H121" s="26"/>
      <c r="I121" s="26"/>
    </row>
  </sheetData>
  <mergeCells count="1">
    <mergeCell ref="F19:H19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2014-05-07T08:41:49Z</dcterms:created>
  <dcterms:modified xsi:type="dcterms:W3CDTF">2014-05-13T07:51:35Z</dcterms:modified>
  <cp:category/>
  <cp:version/>
  <cp:contentType/>
  <cp:contentStatus/>
</cp:coreProperties>
</file>